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/>
  </bookViews>
  <sheets>
    <sheet name="Женщины группа А" sheetId="41" r:id="rId1"/>
    <sheet name="Женщины группа В" sheetId="42" r:id="rId2"/>
    <sheet name="Женщины Кубок А" sheetId="44" r:id="rId3"/>
    <sheet name="Женщины Кубок В" sheetId="43" r:id="rId4"/>
    <sheet name="Женщины Кубок С" sheetId="45" r:id="rId5"/>
    <sheet name="Женщины Чемпионат ВФБ" sheetId="47" r:id="rId6"/>
    <sheet name="Мужчины группа А" sheetId="46" r:id="rId7"/>
    <sheet name="Мужчины группа В" sheetId="48" r:id="rId8"/>
    <sheet name="Мужчины группа С" sheetId="49" r:id="rId9"/>
    <sheet name="Мужчины группа D" sheetId="50" r:id="rId10"/>
    <sheet name="Мужчины группа АА1" sheetId="51" r:id="rId11"/>
    <sheet name="Мужчины группа АА2" sheetId="52" r:id="rId12"/>
    <sheet name="Мужчины группа ВВ1" sheetId="53" r:id="rId13"/>
    <sheet name="Мужчины группа ВВ2" sheetId="54" r:id="rId14"/>
    <sheet name="Мужчины кубок А" sheetId="56" r:id="rId15"/>
    <sheet name="Мужчины кубок В" sheetId="58" r:id="rId16"/>
    <sheet name="Мужчины кубок С" sheetId="57" r:id="rId17"/>
    <sheet name="Мужчины кубок D" sheetId="66" r:id="rId18"/>
    <sheet name="Чемпионат ВФБ мужчины группа А" sheetId="16" r:id="rId19"/>
    <sheet name="Чемпионат ВФБ мужчины группа В" sheetId="59" r:id="rId20"/>
    <sheet name="Чемпионат ВФБ мужчины кубок А" sheetId="19" r:id="rId21"/>
    <sheet name="Чемпионат ВФБ мужчины кубок В" sheetId="60" r:id="rId22"/>
    <sheet name="Чемпионат ВФБ мужчины кубок С" sheetId="61" r:id="rId23"/>
    <sheet name="Итоги ГП России кубок ВФБ жен" sheetId="62" r:id="rId24"/>
    <sheet name="Итоги ГП России чемпионат ВФБ ж" sheetId="63" r:id="rId25"/>
    <sheet name="Итоги ГП России кубок ВФБ муж" sheetId="64" r:id="rId26"/>
    <sheet name="Итоги ГП России чемпионат ВФБ м" sheetId="65" r:id="rId27"/>
    <sheet name="Служебный лист" sheetId="4" state="hidden" r:id="rId28"/>
  </sheets>
  <calcPr calcId="114210"/>
</workbook>
</file>

<file path=xl/calcChain.xml><?xml version="1.0" encoding="utf-8"?>
<calcChain xmlns="http://schemas.openxmlformats.org/spreadsheetml/2006/main">
  <c r="F6" i="66"/>
  <c r="F14"/>
  <c r="J10"/>
  <c r="B20"/>
  <c r="B24"/>
  <c r="F22"/>
  <c r="J10" i="61"/>
  <c r="F22"/>
  <c r="F6" i="60"/>
  <c r="J10"/>
  <c r="F14"/>
  <c r="B20"/>
  <c r="F22"/>
  <c r="B24"/>
  <c r="G4" i="59"/>
  <c r="H4"/>
  <c r="I4"/>
  <c r="J4"/>
  <c r="G5"/>
  <c r="H5"/>
  <c r="I5"/>
  <c r="J5"/>
  <c r="K4"/>
  <c r="L5"/>
  <c r="F6"/>
  <c r="H6"/>
  <c r="I6"/>
  <c r="J6"/>
  <c r="F7"/>
  <c r="H7"/>
  <c r="I7"/>
  <c r="J7"/>
  <c r="K6"/>
  <c r="L7"/>
  <c r="F8"/>
  <c r="G8"/>
  <c r="I8"/>
  <c r="J8"/>
  <c r="F9"/>
  <c r="G9"/>
  <c r="I9"/>
  <c r="J9"/>
  <c r="K8"/>
  <c r="L9"/>
  <c r="F10"/>
  <c r="G10"/>
  <c r="H10"/>
  <c r="J10"/>
  <c r="F11"/>
  <c r="G11"/>
  <c r="H11"/>
  <c r="J11"/>
  <c r="K10"/>
  <c r="L11"/>
  <c r="F12"/>
  <c r="G12"/>
  <c r="H12"/>
  <c r="I12"/>
  <c r="F13"/>
  <c r="G13"/>
  <c r="H13"/>
  <c r="I13"/>
  <c r="K12"/>
  <c r="L13"/>
  <c r="C18"/>
  <c r="H18"/>
  <c r="C19"/>
  <c r="H19"/>
  <c r="C22"/>
  <c r="H22"/>
  <c r="C23"/>
  <c r="H23"/>
  <c r="C26"/>
  <c r="H26"/>
  <c r="C27"/>
  <c r="H27"/>
  <c r="C30"/>
  <c r="H30"/>
  <c r="C31"/>
  <c r="H31"/>
  <c r="C34"/>
  <c r="H34"/>
  <c r="C35"/>
  <c r="H35"/>
  <c r="F6" i="58"/>
  <c r="J10"/>
  <c r="F14"/>
  <c r="B20"/>
  <c r="F22"/>
  <c r="B24"/>
  <c r="F6" i="57"/>
  <c r="J10"/>
  <c r="F14"/>
  <c r="B20"/>
  <c r="F22"/>
  <c r="B24"/>
  <c r="F6" i="56"/>
  <c r="F14"/>
  <c r="J10"/>
  <c r="B20"/>
  <c r="B24"/>
  <c r="F22"/>
  <c r="H24" i="49"/>
  <c r="G4" i="54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53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52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51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50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9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C25"/>
  <c r="H25"/>
  <c r="G4" i="48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7"/>
  <c r="H4"/>
  <c r="I4"/>
  <c r="J4"/>
  <c r="K4"/>
  <c r="G5"/>
  <c r="H5"/>
  <c r="I5"/>
  <c r="J5"/>
  <c r="K5"/>
  <c r="L4"/>
  <c r="M5"/>
  <c r="F6"/>
  <c r="H6"/>
  <c r="I6"/>
  <c r="J6"/>
  <c r="K6"/>
  <c r="F7"/>
  <c r="H7"/>
  <c r="I7"/>
  <c r="J7"/>
  <c r="K7"/>
  <c r="L6"/>
  <c r="M7"/>
  <c r="F8"/>
  <c r="G8"/>
  <c r="I8"/>
  <c r="J8"/>
  <c r="K8"/>
  <c r="F9"/>
  <c r="G9"/>
  <c r="I9"/>
  <c r="J9"/>
  <c r="K9"/>
  <c r="L8"/>
  <c r="M9"/>
  <c r="F10"/>
  <c r="G10"/>
  <c r="H10"/>
  <c r="J10"/>
  <c r="K10"/>
  <c r="F11"/>
  <c r="G11"/>
  <c r="H11"/>
  <c r="J11"/>
  <c r="K11"/>
  <c r="L10"/>
  <c r="M11"/>
  <c r="F12"/>
  <c r="G12"/>
  <c r="H12"/>
  <c r="I12"/>
  <c r="K12"/>
  <c r="F13"/>
  <c r="G13"/>
  <c r="H13"/>
  <c r="I13"/>
  <c r="K13"/>
  <c r="L12"/>
  <c r="M13"/>
  <c r="F14"/>
  <c r="G14"/>
  <c r="H14"/>
  <c r="I14"/>
  <c r="J14"/>
  <c r="F15"/>
  <c r="G15"/>
  <c r="H15"/>
  <c r="I15"/>
  <c r="J15"/>
  <c r="L14"/>
  <c r="M15"/>
  <c r="C20"/>
  <c r="H20"/>
  <c r="C21"/>
  <c r="H21"/>
  <c r="C22"/>
  <c r="H22"/>
  <c r="C25"/>
  <c r="H25"/>
  <c r="C26"/>
  <c r="H26"/>
  <c r="C27"/>
  <c r="H27"/>
  <c r="C30"/>
  <c r="H30"/>
  <c r="C31"/>
  <c r="H31"/>
  <c r="C32"/>
  <c r="H32"/>
  <c r="C35"/>
  <c r="H35"/>
  <c r="C36"/>
  <c r="H36"/>
  <c r="C37"/>
  <c r="H37"/>
  <c r="C40"/>
  <c r="H40"/>
  <c r="C41"/>
  <c r="H41"/>
  <c r="C42"/>
  <c r="H42"/>
  <c r="G4" i="46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F6" i="45"/>
  <c r="J10"/>
  <c r="F14"/>
  <c r="B20"/>
  <c r="F22"/>
  <c r="B24"/>
  <c r="F6" i="44"/>
  <c r="J10"/>
  <c r="F14"/>
  <c r="B20"/>
  <c r="F22"/>
  <c r="B24"/>
  <c r="F6" i="43"/>
  <c r="J10"/>
  <c r="F14"/>
  <c r="B20"/>
  <c r="F22"/>
  <c r="B24"/>
  <c r="G4" i="42"/>
  <c r="H4"/>
  <c r="I4"/>
  <c r="J4"/>
  <c r="K4"/>
  <c r="G5"/>
  <c r="H5"/>
  <c r="I5"/>
  <c r="J5"/>
  <c r="K5"/>
  <c r="L4"/>
  <c r="M5"/>
  <c r="F6"/>
  <c r="H6"/>
  <c r="I6"/>
  <c r="J6"/>
  <c r="K6"/>
  <c r="F7"/>
  <c r="H7"/>
  <c r="I7"/>
  <c r="J7"/>
  <c r="K7"/>
  <c r="L6"/>
  <c r="M7"/>
  <c r="F8"/>
  <c r="G8"/>
  <c r="I8"/>
  <c r="J8"/>
  <c r="K8"/>
  <c r="F9"/>
  <c r="G9"/>
  <c r="I9"/>
  <c r="J9"/>
  <c r="K9"/>
  <c r="L8"/>
  <c r="M9"/>
  <c r="F10"/>
  <c r="G10"/>
  <c r="H10"/>
  <c r="J10"/>
  <c r="K10"/>
  <c r="F11"/>
  <c r="G11"/>
  <c r="H11"/>
  <c r="J11"/>
  <c r="K11"/>
  <c r="L10"/>
  <c r="M11"/>
  <c r="F12"/>
  <c r="G12"/>
  <c r="H12"/>
  <c r="I12"/>
  <c r="K12"/>
  <c r="F13"/>
  <c r="G13"/>
  <c r="H13"/>
  <c r="I13"/>
  <c r="K13"/>
  <c r="L12"/>
  <c r="M13"/>
  <c r="F14"/>
  <c r="G14"/>
  <c r="H14"/>
  <c r="I14"/>
  <c r="J14"/>
  <c r="F15"/>
  <c r="G15"/>
  <c r="H15"/>
  <c r="I15"/>
  <c r="J15"/>
  <c r="L14"/>
  <c r="M15"/>
  <c r="C20"/>
  <c r="H20"/>
  <c r="C21"/>
  <c r="H21"/>
  <c r="C22"/>
  <c r="H22"/>
  <c r="C25"/>
  <c r="H25"/>
  <c r="C26"/>
  <c r="H26"/>
  <c r="C27"/>
  <c r="H27"/>
  <c r="C30"/>
  <c r="H30"/>
  <c r="C31"/>
  <c r="H31"/>
  <c r="C32"/>
  <c r="H32"/>
  <c r="C35"/>
  <c r="H35"/>
  <c r="C36"/>
  <c r="H36"/>
  <c r="C37"/>
  <c r="H37"/>
  <c r="C40"/>
  <c r="H40"/>
  <c r="C41"/>
  <c r="H41"/>
  <c r="C42"/>
  <c r="H42"/>
  <c r="G4" i="41"/>
  <c r="H4"/>
  <c r="I4"/>
  <c r="J4"/>
  <c r="K4"/>
  <c r="G5"/>
  <c r="H5"/>
  <c r="I5"/>
  <c r="J5"/>
  <c r="K5"/>
  <c r="L4"/>
  <c r="M5"/>
  <c r="F6"/>
  <c r="H6"/>
  <c r="I6"/>
  <c r="J6"/>
  <c r="K6"/>
  <c r="F7"/>
  <c r="H7"/>
  <c r="I7"/>
  <c r="J7"/>
  <c r="K7"/>
  <c r="L6"/>
  <c r="M7"/>
  <c r="F8"/>
  <c r="G8"/>
  <c r="I8"/>
  <c r="J8"/>
  <c r="K8"/>
  <c r="F9"/>
  <c r="G9"/>
  <c r="I9"/>
  <c r="J9"/>
  <c r="K9"/>
  <c r="L8"/>
  <c r="M9"/>
  <c r="F10"/>
  <c r="G10"/>
  <c r="H10"/>
  <c r="J10"/>
  <c r="K10"/>
  <c r="F11"/>
  <c r="G11"/>
  <c r="H11"/>
  <c r="J11"/>
  <c r="K11"/>
  <c r="L10"/>
  <c r="M11"/>
  <c r="F12"/>
  <c r="G12"/>
  <c r="H12"/>
  <c r="I12"/>
  <c r="K12"/>
  <c r="F13"/>
  <c r="G13"/>
  <c r="H13"/>
  <c r="I13"/>
  <c r="K13"/>
  <c r="L12"/>
  <c r="M13"/>
  <c r="F14"/>
  <c r="G14"/>
  <c r="H14"/>
  <c r="I14"/>
  <c r="J14"/>
  <c r="F15"/>
  <c r="G15"/>
  <c r="H15"/>
  <c r="I15"/>
  <c r="J15"/>
  <c r="L14"/>
  <c r="M15"/>
  <c r="C20"/>
  <c r="H20"/>
  <c r="C21"/>
  <c r="H21"/>
  <c r="C22"/>
  <c r="H22"/>
  <c r="C25"/>
  <c r="H25"/>
  <c r="C26"/>
  <c r="H26"/>
  <c r="C27"/>
  <c r="H27"/>
  <c r="C30"/>
  <c r="H30"/>
  <c r="C31"/>
  <c r="H31"/>
  <c r="C32"/>
  <c r="H32"/>
  <c r="C35"/>
  <c r="H35"/>
  <c r="C36"/>
  <c r="H36"/>
  <c r="C37"/>
  <c r="H37"/>
  <c r="C40"/>
  <c r="H40"/>
  <c r="C41"/>
  <c r="H41"/>
  <c r="C42"/>
  <c r="H42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J6" i="16"/>
  <c r="G10"/>
  <c r="C30"/>
  <c r="C27"/>
  <c r="F6"/>
  <c r="J10"/>
  <c r="F12"/>
  <c r="J8"/>
  <c r="H22"/>
  <c r="H10"/>
  <c r="C35"/>
  <c r="C23"/>
  <c r="H4"/>
  <c r="H27"/>
  <c r="I6"/>
  <c r="G12"/>
  <c r="C22"/>
  <c r="C34"/>
  <c r="H35"/>
  <c r="G8"/>
  <c r="H12"/>
  <c r="I4"/>
  <c r="I8"/>
  <c r="H19"/>
  <c r="C18"/>
  <c r="H31"/>
  <c r="I12"/>
  <c r="F8"/>
  <c r="F10"/>
  <c r="H23"/>
  <c r="H30"/>
  <c r="J4"/>
  <c r="C31"/>
  <c r="H18"/>
  <c r="G4"/>
  <c r="H26"/>
  <c r="C26"/>
  <c r="H6"/>
  <c r="C19"/>
  <c r="H34"/>
  <c r="A6" i="4"/>
  <c r="B6"/>
  <c r="C6"/>
  <c r="D6"/>
  <c r="E6"/>
  <c r="F1"/>
  <c r="J9" i="16"/>
  <c r="I7"/>
  <c r="G11"/>
  <c r="I13"/>
  <c r="H11"/>
  <c r="G13"/>
  <c r="F13"/>
  <c r="G9"/>
  <c r="H5"/>
  <c r="G5"/>
  <c r="J11"/>
  <c r="J5"/>
  <c r="H7"/>
  <c r="I9"/>
  <c r="I5"/>
  <c r="J7"/>
  <c r="F11"/>
  <c r="H13"/>
  <c r="F7"/>
  <c r="F9"/>
  <c r="K12"/>
  <c r="L13"/>
  <c r="K10"/>
  <c r="L11"/>
  <c r="K8"/>
  <c r="L9"/>
  <c r="K6"/>
  <c r="L7"/>
  <c r="K4"/>
  <c r="L5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<sst xmlns="http://schemas.openxmlformats.org/spreadsheetml/2006/main" count="691" uniqueCount="105">
  <si>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</si>
  <si>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</si>
  <si>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</si>
  <si>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</si>
  <si>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</si>
  <si>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</si>
  <si>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</si>
  <si>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</si>
  <si>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</si>
  <si>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</si>
  <si>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</si>
  <si>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</si>
  <si>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Кубок ВФБ по боулспорту (петанк, женщины) г.Георгиевск, 6-7 апреля 2024 года, Группа А</t>
  </si>
  <si>
    <t>Кубок ВФБ по боулспорту (петанк, женщины) г.Георгиевск, 6-7 апреля 2024 года, Группа В</t>
  </si>
  <si>
    <t>Мусина Ева</t>
  </si>
  <si>
    <t>Дегтярёва Лариса</t>
  </si>
  <si>
    <t>Дегтярёва Мила</t>
  </si>
  <si>
    <t>Маркина Елена</t>
  </si>
  <si>
    <t>Фёдорова Анна</t>
  </si>
  <si>
    <t>Пилипенко Ирина</t>
  </si>
  <si>
    <t>дор.1</t>
  </si>
  <si>
    <t>дор.2</t>
  </si>
  <si>
    <t>дор.3</t>
  </si>
  <si>
    <t>дор.4</t>
  </si>
  <si>
    <t>дор.5</t>
  </si>
  <si>
    <t>дор.6</t>
  </si>
  <si>
    <t>Симутина Юлия</t>
  </si>
  <si>
    <t>Лукина Лариса</t>
  </si>
  <si>
    <t>Кочетова Валерия</t>
  </si>
  <si>
    <t>Серёгина Ольга</t>
  </si>
  <si>
    <t>Цепелева Татьяна</t>
  </si>
  <si>
    <t>Симонова Елена</t>
  </si>
  <si>
    <t>Кубок ВФБ по боулспорту (петанк, женщины) г.Георгиевск, 6-7 апреля 2024 года, Кубок А</t>
  </si>
  <si>
    <t>Кубок ВФБ по боулспорту (петанк, женщины) г.Георгиевск, 6-7 апреля 2024 года, Кубок В</t>
  </si>
  <si>
    <t>Кубок ВФБ по боулспорту (петанк, женщины) г.Георгиевск, 6-7 апреля 2024 года, Кубок С</t>
  </si>
  <si>
    <t>Чемпионат ВФБ по боулспорту (петанк-двойка, женщины) г.Георгиевск, 6-7 апреля 2024 года</t>
  </si>
  <si>
    <t>Мусина, Лукина</t>
  </si>
  <si>
    <t>Симутина, Кочетова</t>
  </si>
  <si>
    <t>Дегтярёва М., Дегтярёва Л.</t>
  </si>
  <si>
    <t>Маркина, Серёгина</t>
  </si>
  <si>
    <t>Фёдорова, Симонова</t>
  </si>
  <si>
    <t>Цепелева, Пилипенко</t>
  </si>
  <si>
    <t>Кубок ВФБ по боулспорту (петанк, мужчины) г.Георгиевск, 6-7 апреля 2024 года, Группа А</t>
  </si>
  <si>
    <t>Капран-Индаяти Сергей</t>
  </si>
  <si>
    <t>Коржов Владимир</t>
  </si>
  <si>
    <t>Матвеенко Борис</t>
  </si>
  <si>
    <t>Борисенко Дмитрий</t>
  </si>
  <si>
    <t>Кубок ВФБ по боулспорту (петанк, мужчины) г.Георгиевск, 6-7 апреля 2024 года, Группа В</t>
  </si>
  <si>
    <t>Лукин Сергей</t>
  </si>
  <si>
    <t>Клименко Владимир</t>
  </si>
  <si>
    <t>Дорошенко Анатолий</t>
  </si>
  <si>
    <t>Корниенко Валерий</t>
  </si>
  <si>
    <t>Кубок ВФБ по боулспорту (петанк, мужчины) г.Георгиевск, 6-7 апреля 2024 года, Группа С</t>
  </si>
  <si>
    <t>Ерёмин Павел</t>
  </si>
  <si>
    <t>Курков Олег</t>
  </si>
  <si>
    <t>Щербак Роман</t>
  </si>
  <si>
    <t>Шевченко Богдан</t>
  </si>
  <si>
    <t>Кубок ВФБ по боулспорту (петанк, мужчины) г.Георгиевск, 6-7 апреля 2024 года, Группа D</t>
  </si>
  <si>
    <t>Галеев Арсений</t>
  </si>
  <si>
    <t>Нечаев Максим</t>
  </si>
  <si>
    <t>Шубин Андрей</t>
  </si>
  <si>
    <t>Щербак Данила</t>
  </si>
  <si>
    <t>Кубок ВФБ по боулспорту (петанк, мужчины) г.Георгиевск, 6-7 апреля 2024 года, Группа АА1</t>
  </si>
  <si>
    <t>Кубок ВФБ по боулспорту (петанк, мужчины) г.Георгиевск, 6-7 апреля 2024 года, Группа АА2</t>
  </si>
  <si>
    <t>Кубок ВФБ по боулспорту (петанк, мужчины) г.Георгиевск, 6-7 апреля 2024 года, Группа ВВ2</t>
  </si>
  <si>
    <t>Кубок ВФБ по боулспорту (петанк, мужчины) г.Георгиевск, 6-7 апреля 2024 года, Кубок А</t>
  </si>
  <si>
    <t>Кубок ВФБ по боулспорту (петанк, мужчины) г.Георгиевск, 6-7 апреля 2024 года, Кубок В</t>
  </si>
  <si>
    <t>Кубок ВФБ по боулспорту (петанк, мужчины) г.Георгиевск, 6-7 апреля 2024 года, Кубок С</t>
  </si>
  <si>
    <t>Лукин, Коржов</t>
  </si>
  <si>
    <t>Галеев, Борисенко</t>
  </si>
  <si>
    <t>Клименко, Корниенко</t>
  </si>
  <si>
    <t>Дорошенко, Щербак И.</t>
  </si>
  <si>
    <t>Шевченко, Щербак Д.</t>
  </si>
  <si>
    <t>Чемпионат ВФБ по боулспорту (петанк-двойка, мужчины) г.Георгиевск, 6-7 апреля 2024 года, Группа А</t>
  </si>
  <si>
    <t>Чемпионат ВФБ по боулспорту (петанк-двойка, мужчины) г.Георгиевск, 6-7 апреля 2024 года, Группа В</t>
  </si>
  <si>
    <t>Капран-Индаяти, Шубин</t>
  </si>
  <si>
    <t>Ерёмин, Нечаев</t>
  </si>
  <si>
    <t>Курков, Матвеенко</t>
  </si>
  <si>
    <t>Щербак Роман, Щербак Родион</t>
  </si>
  <si>
    <t>Дуплякин, Попов</t>
  </si>
  <si>
    <t>Кубок ВФБ по боулспорту (петанк-двойка, мужчины) г.Георгиевск, 6-7 апреля 2024 года, Кубок А</t>
  </si>
  <si>
    <t>Кубок ВФБ по боулспорту (петанк-двойка, мужчины) г.Георгиевск, 6-7 апреля 2024 года, Кубок В</t>
  </si>
  <si>
    <t>Щербак Р., Щербак Р.</t>
  </si>
  <si>
    <t>Дорошенко А, Щербак И.</t>
  </si>
  <si>
    <t>Кубок ВФБ по боулспорту (петанк-двойка, мужчины) г.Георгиевск, 6-7 апреля 2024 года, Кубок С</t>
  </si>
  <si>
    <t>Место</t>
  </si>
  <si>
    <t>ФИО</t>
  </si>
  <si>
    <t>Регион</t>
  </si>
  <si>
    <t>Краснодарский край</t>
  </si>
  <si>
    <t>Ставропольский край</t>
  </si>
  <si>
    <t>ИТОГОВЫЙ ПРОТОКОЛ                                                                       Кубок ВФБ по боулспорту (петанк, женщины), г.Георгиевск, 6-7 апреля 2024 года</t>
  </si>
  <si>
    <t>РФСОО "Всероссийская федерация боулспорта"</t>
  </si>
  <si>
    <t>Очки Гран-При России по петанку</t>
  </si>
  <si>
    <t>Московская область</t>
  </si>
  <si>
    <t>ИТОГОВЫЙ ПРОТОКОЛ                                                                       Чемпионат ВФБ по боулспорту (петанк-двойка, женщины), г.Георгиевск, 6-7 апреля 2024 года</t>
  </si>
  <si>
    <t>ИТОГОВЫЙ ПРОТОКОЛ                                                                       Кубок ВФБ по боулспорту (петанк, мужчины), г.Георгиевск, 6-7 апреля 2024 года</t>
  </si>
  <si>
    <t>ИТОГОВЫЙ ПРОТОКОЛ                                                                       Чемпионат ВФБ по боулспорту (петанк-двойка, мужчины), г.Георгиевск, 6-7 апреля 2024 года</t>
  </si>
  <si>
    <t>Дуплякин Юрий</t>
  </si>
  <si>
    <t>Москва</t>
  </si>
  <si>
    <t>Попов Михаил</t>
  </si>
  <si>
    <t>Щербак Родион</t>
  </si>
  <si>
    <t>Щербак Игнат</t>
  </si>
  <si>
    <t>Кубок ВФБ по боулспорту (петанк, мужчины) г.Георгиевск, 6-7 апреля 2024 года, Кубок D</t>
  </si>
  <si>
    <t>Главный судья          ____________ С.В.Капран-Идаяти</t>
  </si>
  <si>
    <t>Главный секретарь  _____________ М.А.Нечаев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</si>
</sst>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sz val="22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b/>
      <sz val="13"/>
      <color indexed="8"/>
      <name val="Cambria"/>
      <family val="1"/>
      <charset val="204"/>
    </font>
    <font>
      <b/>
      <sz val="20"/>
      <color indexed="8"/>
      <name val="Cambria"/>
      <family val="1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0" xfId="0" applyFill="1"/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6" xfId="0" applyBorder="1"/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3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6" xfId="0" applyFont="1" applyBorder="1"/>
    <xf numFmtId="0" fontId="3" fillId="0" borderId="9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/>
    <xf numFmtId="0" fontId="1" fillId="0" borderId="23" xfId="0" applyFont="1" applyBorder="1"/>
    <xf numFmtId="0" fontId="1" fillId="0" borderId="11" xfId="0" applyFont="1" applyBorder="1"/>
    <xf numFmtId="0" fontId="1" fillId="0" borderId="24" xfId="0" applyFont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indent="1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left" vertical="center" wrapText="1" indent="1"/>
    </xf>
    <xf numFmtId="0" fontId="5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workbookViewId="0">
      <selection activeCell="B45" sqref="B45:H48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2:14" ht="38.25" customHeight="1">
      <c r="B1" s="98" t="s">
        <v>12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ht="15.75" thickBot="1">
      <c r="M2"/>
    </row>
    <row r="3" spans="2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102">
        <v>1</v>
      </c>
      <c r="C4" s="103" t="s">
        <v>14</v>
      </c>
      <c r="D4" s="104"/>
      <c r="E4" s="105"/>
      <c r="F4" s="9" t="s">
        <v>7</v>
      </c>
      <c r="G4" s="5" t="str">
        <f ca="1">INDIRECT(ADDRESS(27,6))&amp;":"&amp;INDIRECT(ADDRESS(27,7))</f>
        <v>13:5</v>
      </c>
      <c r="H4" s="5" t="str">
        <f ca="1">INDIRECT(ADDRESS(31,7))&amp;":"&amp;INDIRECT(ADDRESS(31,6))</f>
        <v>9:13</v>
      </c>
      <c r="I4" s="5" t="str">
        <f ca="1">INDIRECT(ADDRESS(36,6))&amp;":"&amp;INDIRECT(ADDRESS(36,7))</f>
        <v>13:2</v>
      </c>
      <c r="J4" s="5" t="str">
        <f ca="1">INDIRECT(ADDRESS(42,7))&amp;":"&amp;INDIRECT(ADDRESS(42,6))</f>
        <v>13:7</v>
      </c>
      <c r="K4" s="20" t="str">
        <f ca="1">INDIRECT(ADDRESS(20,6))&amp;":"&amp;INDIRECT(ADDRESS(20,7))</f>
        <v>13:1</v>
      </c>
      <c r="L4" s="106">
        <f ca="1">IF(COUNT(F5:K5)=0,"",COUNTIF(F5:K5,"&gt;0")+0.5*COUNTIF(F5:K5,0))</f>
        <v>4</v>
      </c>
      <c r="M4" s="23"/>
      <c r="N4" s="107">
        <v>2</v>
      </c>
    </row>
    <row r="5" spans="2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COLUMN())))=1,"",INDIRECT(ADDRESS(27,6))-INDIRECT(ADDRESS(27,7)))</f>
        <v>8</v>
      </c>
      <c r="H5" s="16">
        <f ca="1">IF(LEN(INDIRECT(ADDRESS(ROW()-1, COLUMN())))=1,"",INDIRECT(ADDRESS(31,7))-INDIRECT(ADDRESS(31,6)))</f>
        <v>-4</v>
      </c>
      <c r="I5" s="16">
        <f ca="1">IF(LEN(INDIRECT(ADDRESS(ROW()-1, COLUMN())))=1,"",INDIRECT(ADDRESS(36,6))-INDIRECT(ADDRESS(36,7)))</f>
        <v>11</v>
      </c>
      <c r="J5" s="16">
        <f ca="1">IF(LEN(INDIRECT(ADDRESS(ROW()-1, COLUMN())))=1,"",INDIRECT(ADDRESS(42,7))-INDIRECT(ADDRESS(42,6)))</f>
        <v>6</v>
      </c>
      <c r="K5" s="17">
        <f ca="1">IF(LEN(INDIRECT(ADDRESS(ROW()-1, COLUMN())))=1,"",INDIRECT(ADDRESS(20,6))-INDIRECT(ADDRESS(20,7)))</f>
        <v>12</v>
      </c>
      <c r="L5" s="94"/>
      <c r="M5" s="16">
        <f ca="1">IF(COUNT(F5:K5)=0,"",SUM(F5:K5))</f>
        <v>33</v>
      </c>
      <c r="N5" s="88"/>
    </row>
    <row r="6" spans="2:14" ht="24" customHeight="1">
      <c r="B6" s="89">
        <v>2</v>
      </c>
      <c r="C6" s="84" t="s">
        <v>16</v>
      </c>
      <c r="D6" s="85"/>
      <c r="E6" s="86"/>
      <c r="F6" s="11" t="str">
        <f ca="1">INDIRECT(ADDRESS(27,7))&amp;":"&amp;INDIRECT(ADDRESS(27,6))</f>
        <v>5:13</v>
      </c>
      <c r="G6" s="7" t="s">
        <v>7</v>
      </c>
      <c r="H6" s="6" t="str">
        <f ca="1">INDIRECT(ADDRESS(37,6))&amp;":"&amp;INDIRECT(ADDRESS(37,7))</f>
        <v>13:2</v>
      </c>
      <c r="I6" s="6" t="str">
        <f ca="1">INDIRECT(ADDRESS(41,7))&amp;":"&amp;INDIRECT(ADDRESS(41,6))</f>
        <v>13:5</v>
      </c>
      <c r="J6" s="6" t="str">
        <f ca="1">INDIRECT(ADDRESS(21,6))&amp;":"&amp;INDIRECT(ADDRESS(21,7))</f>
        <v>6:13</v>
      </c>
      <c r="K6" s="10" t="str">
        <f ca="1">INDIRECT(ADDRESS(30,6))&amp;":"&amp;INDIRECT(ADDRESS(30,7))</f>
        <v>13:2</v>
      </c>
      <c r="L6" s="94">
        <f ca="1">IF(COUNT(F7:K7)=0,"",COUNTIF(F7:K7,"&gt;0")+0.5*COUNTIF(F7:K7,0))</f>
        <v>3</v>
      </c>
      <c r="M6" s="16"/>
      <c r="N6" s="87">
        <v>4</v>
      </c>
    </row>
    <row r="7" spans="2:14" ht="24" customHeight="1">
      <c r="B7" s="97"/>
      <c r="C7" s="84"/>
      <c r="D7" s="85"/>
      <c r="E7" s="86"/>
      <c r="F7" s="22">
        <f ca="1">IF(LEN(INDIRECT(ADDRESS(ROW()-1, COLUMN())))=1,"",INDIRECT(ADDRESS(27,7))-INDIRECT(ADDRESS(27,6)))</f>
        <v>-8</v>
      </c>
      <c r="G7" s="14" t="s">
        <v>7</v>
      </c>
      <c r="H7" s="16">
        <f ca="1">IF(LEN(INDIRECT(ADDRESS(ROW()-1, COLUMN())))=1,"",INDIRECT(ADDRESS(37,6))-INDIRECT(ADDRESS(37,7)))</f>
        <v>11</v>
      </c>
      <c r="I7" s="16">
        <f ca="1">IF(LEN(INDIRECT(ADDRESS(ROW()-1, COLUMN())))=1,"",INDIRECT(ADDRESS(41,7))-INDIRECT(ADDRESS(41,6)))</f>
        <v>8</v>
      </c>
      <c r="J7" s="16">
        <f ca="1">IF(LEN(INDIRECT(ADDRESS(ROW()-1, COLUMN())))=1,"",INDIRECT(ADDRESS(21,6))-INDIRECT(ADDRESS(21,7)))</f>
        <v>-7</v>
      </c>
      <c r="K7" s="17">
        <f ca="1">IF(LEN(INDIRECT(ADDRESS(ROW()-1, COLUMN())))=1,"",INDIRECT(ADDRESS(30,6))-INDIRECT(ADDRESS(30,7)))</f>
        <v>11</v>
      </c>
      <c r="L7" s="94"/>
      <c r="M7" s="16">
        <f ca="1">IF(COUNT(F7:K7)=0,"",SUM(F7:K7))</f>
        <v>15</v>
      </c>
      <c r="N7" s="88"/>
    </row>
    <row r="8" spans="2:14" ht="24" customHeight="1">
      <c r="B8" s="89">
        <v>3</v>
      </c>
      <c r="C8" s="84" t="s">
        <v>15</v>
      </c>
      <c r="D8" s="85"/>
      <c r="E8" s="86"/>
      <c r="F8" s="11" t="str">
        <f ca="1">INDIRECT(ADDRESS(31,6))&amp;":"&amp;INDIRECT(ADDRESS(31,7))</f>
        <v>13:9</v>
      </c>
      <c r="G8" s="6" t="str">
        <f ca="1">INDIRECT(ADDRESS(37,7))&amp;":"&amp;INDIRECT(ADDRESS(37,6))</f>
        <v>2:13</v>
      </c>
      <c r="H8" s="7" t="s">
        <v>7</v>
      </c>
      <c r="I8" s="6" t="str">
        <f ca="1">INDIRECT(ADDRESS(22,6))&amp;":"&amp;INDIRECT(ADDRESS(22,7))</f>
        <v>9:8</v>
      </c>
      <c r="J8" s="6" t="str">
        <f ca="1">INDIRECT(ADDRESS(26,7))&amp;":"&amp;INDIRECT(ADDRESS(26,6))</f>
        <v>13:7</v>
      </c>
      <c r="K8" s="10" t="str">
        <f ca="1">INDIRECT(ADDRESS(40,6))&amp;":"&amp;INDIRECT(ADDRESS(40,7))</f>
        <v>13:4</v>
      </c>
      <c r="L8" s="94">
        <f ca="1">IF(COUNT(F9:K9)=0,"",COUNTIF(F9:K9,"&gt;0")+0.5*COUNTIF(F9:K9,0))</f>
        <v>4</v>
      </c>
      <c r="M8" s="16"/>
      <c r="N8" s="87">
        <v>1</v>
      </c>
    </row>
    <row r="9" spans="2:14" ht="24" customHeight="1">
      <c r="B9" s="97"/>
      <c r="C9" s="84"/>
      <c r="D9" s="85"/>
      <c r="E9" s="86"/>
      <c r="F9" s="22">
        <f ca="1">IF(LEN(INDIRECT(ADDRESS(ROW()-1, COLUMN())))=1,"",INDIRECT(ADDRESS(31,6))-INDIRECT(ADDRESS(31,7)))</f>
        <v>4</v>
      </c>
      <c r="G9" s="16">
        <f ca="1">IF(LEN(INDIRECT(ADDRESS(ROW()-1, COLUMN())))=1,"",INDIRECT(ADDRESS(37,7))-INDIRECT(ADDRESS(37,6)))</f>
        <v>-11</v>
      </c>
      <c r="H9" s="14" t="s">
        <v>7</v>
      </c>
      <c r="I9" s="16">
        <f ca="1">IF(LEN(INDIRECT(ADDRESS(ROW()-1, COLUMN())))=1,"",INDIRECT(ADDRESS(22,6))-INDIRECT(ADDRESS(22,7)))</f>
        <v>1</v>
      </c>
      <c r="J9" s="16">
        <f ca="1">IF(LEN(INDIRECT(ADDRESS(ROW()-1, COLUMN())))=1,"",INDIRECT(ADDRESS(26,7))-INDIRECT(ADDRESS(26,6)))</f>
        <v>6</v>
      </c>
      <c r="K9" s="17">
        <f ca="1">IF(LEN(INDIRECT(ADDRESS(ROW()-1, COLUMN())))=1,"",INDIRECT(ADDRESS(40,6))-INDIRECT(ADDRESS(40,7)))</f>
        <v>9</v>
      </c>
      <c r="L9" s="94"/>
      <c r="M9" s="16">
        <f ca="1">IF(COUNT(F9:K9)=0,"",SUM(F9:K9))</f>
        <v>9</v>
      </c>
      <c r="N9" s="88"/>
    </row>
    <row r="10" spans="2:14" ht="24" customHeight="1">
      <c r="B10" s="89">
        <v>4</v>
      </c>
      <c r="C10" s="84" t="s">
        <v>17</v>
      </c>
      <c r="D10" s="85"/>
      <c r="E10" s="86"/>
      <c r="F10" s="11" t="str">
        <f ca="1">INDIRECT(ADDRESS(36,7))&amp;":"&amp;INDIRECT(ADDRESS(36,6))</f>
        <v>2:13</v>
      </c>
      <c r="G10" s="6" t="str">
        <f ca="1">INDIRECT(ADDRESS(41,6))&amp;":"&amp;INDIRECT(ADDRESS(41,7))</f>
        <v>5:13</v>
      </c>
      <c r="H10" s="6" t="str">
        <f ca="1">INDIRECT(ADDRESS(22,7))&amp;":"&amp;INDIRECT(ADDRESS(22,6))</f>
        <v>8:9</v>
      </c>
      <c r="I10" s="7" t="s">
        <v>7</v>
      </c>
      <c r="J10" s="6" t="str">
        <f ca="1">INDIRECT(ADDRESS(32,6))&amp;":"&amp;INDIRECT(ADDRESS(32,7))</f>
        <v>9:11</v>
      </c>
      <c r="K10" s="10" t="str">
        <f ca="1">INDIRECT(ADDRESS(25,7))&amp;":"&amp;INDIRECT(ADDRESS(25,6))</f>
        <v>13:1</v>
      </c>
      <c r="L10" s="94">
        <f ca="1">IF(COUNT(F11:K11)=0,"",COUNTIF(F11:K11,"&gt;0")+0.5*COUNTIF(F11:K11,0))</f>
        <v>1</v>
      </c>
      <c r="M10" s="16"/>
      <c r="N10" s="87">
        <v>5</v>
      </c>
    </row>
    <row r="11" spans="2:14" ht="24" customHeight="1">
      <c r="B11" s="97"/>
      <c r="C11" s="84"/>
      <c r="D11" s="85"/>
      <c r="E11" s="86"/>
      <c r="F11" s="22">
        <f ca="1">IF(LEN(INDIRECT(ADDRESS(ROW()-1, COLUMN())))=1,"",INDIRECT(ADDRESS(36,7))-INDIRECT(ADDRESS(36,6)))</f>
        <v>-11</v>
      </c>
      <c r="G11" s="16">
        <f ca="1">IF(LEN(INDIRECT(ADDRESS(ROW()-1, COLUMN())))=1,"",INDIRECT(ADDRESS(41,6))-INDIRECT(ADDRESS(41,7)))</f>
        <v>-8</v>
      </c>
      <c r="H11" s="16">
        <f ca="1">IF(LEN(INDIRECT(ADDRESS(ROW()-1, COLUMN())))=1,"",INDIRECT(ADDRESS(22,7))-INDIRECT(ADDRESS(22,6)))</f>
        <v>-1</v>
      </c>
      <c r="I11" s="14" t="s">
        <v>7</v>
      </c>
      <c r="J11" s="16">
        <f ca="1">IF(LEN(INDIRECT(ADDRESS(ROW()-1, COLUMN())))=1,"",INDIRECT(ADDRESS(32,6))-INDIRECT(ADDRESS(32,7)))</f>
        <v>-2</v>
      </c>
      <c r="K11" s="17">
        <f ca="1">IF(LEN(INDIRECT(ADDRESS(ROW()-1, COLUMN())))=1,"",INDIRECT(ADDRESS(25,7))-INDIRECT(ADDRESS(25,6)))</f>
        <v>12</v>
      </c>
      <c r="L11" s="94"/>
      <c r="M11" s="16">
        <f ca="1">IF(COUNT(F11:K11)=0,"",SUM(F11:K11))</f>
        <v>-10</v>
      </c>
      <c r="N11" s="88"/>
    </row>
    <row r="12" spans="2:14" ht="24" customHeight="1">
      <c r="B12" s="89">
        <v>5</v>
      </c>
      <c r="C12" s="84" t="s">
        <v>18</v>
      </c>
      <c r="D12" s="85"/>
      <c r="E12" s="86"/>
      <c r="F12" s="11" t="str">
        <f ca="1">INDIRECT(ADDRESS(42,6))&amp;":"&amp;INDIRECT(ADDRESS(42,7))</f>
        <v>7:13</v>
      </c>
      <c r="G12" s="6" t="str">
        <f ca="1">INDIRECT(ADDRESS(21,7))&amp;":"&amp;INDIRECT(ADDRESS(21,6))</f>
        <v>13:6</v>
      </c>
      <c r="H12" s="6" t="str">
        <f ca="1">INDIRECT(ADDRESS(26,6))&amp;":"&amp;INDIRECT(ADDRESS(26,7))</f>
        <v>7:13</v>
      </c>
      <c r="I12" s="6" t="str">
        <f ca="1">INDIRECT(ADDRESS(32,7))&amp;":"&amp;INDIRECT(ADDRESS(32,6))</f>
        <v>11:9</v>
      </c>
      <c r="J12" s="7" t="s">
        <v>7</v>
      </c>
      <c r="K12" s="10" t="str">
        <f ca="1">INDIRECT(ADDRESS(35,7))&amp;":"&amp;INDIRECT(ADDRESS(35,6))</f>
        <v>13:8</v>
      </c>
      <c r="L12" s="94">
        <f ca="1">IF(COUNT(F13:K13)=0,"",COUNTIF(F13:K13,"&gt;0")+0.5*COUNTIF(F13:K13,0))</f>
        <v>3</v>
      </c>
      <c r="M12" s="16"/>
      <c r="N12" s="87">
        <v>3</v>
      </c>
    </row>
    <row r="13" spans="2:14" ht="24" customHeight="1">
      <c r="B13" s="97"/>
      <c r="C13" s="84"/>
      <c r="D13" s="85"/>
      <c r="E13" s="86"/>
      <c r="F13" s="22">
        <f ca="1">IF(LEN(INDIRECT(ADDRESS(ROW()-1, COLUMN())))=1,"",INDIRECT(ADDRESS(42,6))-INDIRECT(ADDRESS(42,7)))</f>
        <v>-6</v>
      </c>
      <c r="G13" s="16">
        <f ca="1">IF(LEN(INDIRECT(ADDRESS(ROW()-1, COLUMN())))=1,"",INDIRECT(ADDRESS(21,7))-INDIRECT(ADDRESS(21,6)))</f>
        <v>7</v>
      </c>
      <c r="H13" s="16">
        <f ca="1">IF(LEN(INDIRECT(ADDRESS(ROW()-1, COLUMN())))=1,"",INDIRECT(ADDRESS(26,6))-INDIRECT(ADDRESS(26,7)))</f>
        <v>-6</v>
      </c>
      <c r="I13" s="16">
        <f ca="1">IF(LEN(INDIRECT(ADDRESS(ROW()-1, COLUMN())))=1,"",INDIRECT(ADDRESS(32,7))-INDIRECT(ADDRESS(32,6)))</f>
        <v>2</v>
      </c>
      <c r="J13" s="14" t="s">
        <v>7</v>
      </c>
      <c r="K13" s="17">
        <f ca="1">IF(LEN(INDIRECT(ADDRESS(ROW()-1, COLUMN())))=1,"",INDIRECT(ADDRESS(35,7))-INDIRECT(ADDRESS(35,6)))</f>
        <v>5</v>
      </c>
      <c r="L13" s="94"/>
      <c r="M13" s="16">
        <f ca="1">IF(COUNT(F13:K13)=0,"",SUM(F13:K13))</f>
        <v>2</v>
      </c>
      <c r="N13" s="88"/>
    </row>
    <row r="14" spans="2:14" ht="24" customHeight="1">
      <c r="B14" s="89">
        <v>6</v>
      </c>
      <c r="C14" s="84" t="s">
        <v>19</v>
      </c>
      <c r="D14" s="85"/>
      <c r="E14" s="86"/>
      <c r="F14" s="11" t="str">
        <f ca="1">INDIRECT(ADDRESS(20,7))&amp;":"&amp;INDIRECT(ADDRESS(20,6))</f>
        <v>1:13</v>
      </c>
      <c r="G14" s="6" t="str">
        <f ca="1">INDIRECT(ADDRESS(30,7))&amp;":"&amp;INDIRECT(ADDRESS(30,6))</f>
        <v>2:13</v>
      </c>
      <c r="H14" s="6" t="str">
        <f ca="1">INDIRECT(ADDRESS(40,7))&amp;":"&amp;INDIRECT(ADDRESS(40,6))</f>
        <v>4:13</v>
      </c>
      <c r="I14" s="6" t="str">
        <f ca="1">INDIRECT(ADDRESS(25,6))&amp;":"&amp;INDIRECT(ADDRESS(25,7))</f>
        <v>1:13</v>
      </c>
      <c r="J14" s="6" t="str">
        <f ca="1">INDIRECT(ADDRESS(35,6))&amp;":"&amp;INDIRECT(ADDRESS(35,7))</f>
        <v>8:13</v>
      </c>
      <c r="K14" s="12" t="s">
        <v>7</v>
      </c>
      <c r="L14" s="94">
        <f ca="1">IF(COUNT(F15:K15)=0,"",COUNTIF(F15:K15,"&gt;0")+0.5*COUNTIF(F15:K15,0))</f>
        <v>0</v>
      </c>
      <c r="M14" s="16"/>
      <c r="N14" s="87">
        <v>6</v>
      </c>
    </row>
    <row r="15" spans="2:14" ht="24" customHeight="1" thickBot="1">
      <c r="B15" s="90"/>
      <c r="C15" s="91"/>
      <c r="D15" s="92"/>
      <c r="E15" s="93"/>
      <c r="F15" s="19">
        <f ca="1">IF(LEN(INDIRECT(ADDRESS(ROW()-1, COLUMN())))=1,"",INDIRECT(ADDRESS(20,7))-INDIRECT(ADDRESS(20,6)))</f>
        <v>-12</v>
      </c>
      <c r="G15" s="18">
        <f ca="1">IF(LEN(INDIRECT(ADDRESS(ROW()-1, COLUMN())))=1,"",INDIRECT(ADDRESS(30,7))-INDIRECT(ADDRESS(30,6)))</f>
        <v>-11</v>
      </c>
      <c r="H15" s="18">
        <f ca="1">IF(LEN(INDIRECT(ADDRESS(ROW()-1, COLUMN())))=1,"",INDIRECT(ADDRESS(40,7))-INDIRECT(ADDRESS(40,6)))</f>
        <v>-9</v>
      </c>
      <c r="I15" s="18">
        <f ca="1">IF(LEN(INDIRECT(ADDRESS(ROW()-1, COLUMN())))=1,"",INDIRECT(ADDRESS(25,6))-INDIRECT(ADDRESS(25,7)))</f>
        <v>-12</v>
      </c>
      <c r="J15" s="18">
        <f ca="1">IF(LEN(INDIRECT(ADDRESS(ROW()-1, COLUMN())))=1,"",INDIRECT(ADDRESS(35,6))-INDIRECT(ADDRESS(35,7)))</f>
        <v>-5</v>
      </c>
      <c r="K15" s="15" t="s">
        <v>7</v>
      </c>
      <c r="L15" s="95"/>
      <c r="M15" s="18">
        <f ca="1">IF(COUNT(F15:K15)=0,"",SUM(F15:K15))</f>
        <v>-49</v>
      </c>
      <c r="N15" s="96"/>
    </row>
    <row r="16" spans="2:14">
      <c r="M16"/>
    </row>
    <row r="17" spans="1:13">
      <c r="M17"/>
    </row>
    <row r="18" spans="1:13">
      <c r="M18"/>
    </row>
    <row r="19" spans="1:13" s="40" customFormat="1" ht="30" customHeight="1" thickBot="1">
      <c r="A19" s="39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3" s="40" customFormat="1" ht="30" customHeight="1" thickBot="1">
      <c r="A20" s="39"/>
      <c r="B20" s="45">
        <v>1</v>
      </c>
      <c r="C20" s="80" t="str">
        <f ca="1">IF(ISBLANK(INDIRECT(ADDRESS(B20*2+2,3))),"",INDIRECT(ADDRESS(B20*2+2,3)))</f>
        <v>Мусина Ева</v>
      </c>
      <c r="D20" s="80"/>
      <c r="E20" s="81"/>
      <c r="F20" s="41">
        <v>13</v>
      </c>
      <c r="G20" s="42">
        <v>1</v>
      </c>
      <c r="H20" s="82" t="str">
        <f ca="1">IF(ISBLANK(INDIRECT(ADDRESS(K20*2+2,3))),"",INDIRECT(ADDRESS(K20*2+2,3)))</f>
        <v>Пилипенко Ирина</v>
      </c>
      <c r="I20" s="80"/>
      <c r="J20" s="80"/>
      <c r="K20" s="45">
        <v>6</v>
      </c>
      <c r="L20" s="43" t="s">
        <v>20</v>
      </c>
      <c r="M20" s="38"/>
    </row>
    <row r="21" spans="1:13" s="40" customFormat="1" ht="30" customHeight="1" thickBot="1">
      <c r="A21" s="39"/>
      <c r="B21" s="45">
        <v>2</v>
      </c>
      <c r="C21" s="80" t="str">
        <f ca="1">IF(ISBLANK(INDIRECT(ADDRESS(B21*2+2,3))),"",INDIRECT(ADDRESS(B21*2+2,3)))</f>
        <v>Дегтярёва Мила</v>
      </c>
      <c r="D21" s="80"/>
      <c r="E21" s="81"/>
      <c r="F21" s="41">
        <v>6</v>
      </c>
      <c r="G21" s="42">
        <v>13</v>
      </c>
      <c r="H21" s="82" t="str">
        <f ca="1">IF(ISBLANK(INDIRECT(ADDRESS(K21*2+2,3))),"",INDIRECT(ADDRESS(K21*2+2,3)))</f>
        <v>Фёдорова Анна</v>
      </c>
      <c r="I21" s="80"/>
      <c r="J21" s="80"/>
      <c r="K21" s="45">
        <v>5</v>
      </c>
      <c r="L21" s="43" t="s">
        <v>21</v>
      </c>
      <c r="M21" s="38"/>
    </row>
    <row r="22" spans="1:13" s="40" customFormat="1" ht="30" customHeight="1" thickBot="1">
      <c r="A22" s="39"/>
      <c r="B22" s="45">
        <v>3</v>
      </c>
      <c r="C22" s="80" t="str">
        <f ca="1">IF(ISBLANK(INDIRECT(ADDRESS(B22*2+2,3))),"",INDIRECT(ADDRESS(B22*2+2,3)))</f>
        <v>Дегтярёва Лариса</v>
      </c>
      <c r="D22" s="80"/>
      <c r="E22" s="81"/>
      <c r="F22" s="41">
        <v>9</v>
      </c>
      <c r="G22" s="42">
        <v>8</v>
      </c>
      <c r="H22" s="82" t="str">
        <f ca="1">IF(ISBLANK(INDIRECT(ADDRESS(K22*2+2,3))),"",INDIRECT(ADDRESS(K22*2+2,3)))</f>
        <v>Маркина Елена</v>
      </c>
      <c r="I22" s="80"/>
      <c r="J22" s="80"/>
      <c r="K22" s="45">
        <v>4</v>
      </c>
      <c r="L22" s="43" t="s">
        <v>22</v>
      </c>
      <c r="M22" s="38"/>
    </row>
    <row r="23" spans="1:13" s="40" customFormat="1" ht="30" customHeight="1">
      <c r="A23" s="39"/>
      <c r="M23" s="46"/>
    </row>
    <row r="24" spans="1:13" s="40" customFormat="1" ht="30" customHeight="1" thickBot="1">
      <c r="A24" s="39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46"/>
    </row>
    <row r="25" spans="1:13" s="40" customFormat="1" ht="30" customHeight="1" thickBot="1">
      <c r="A25" s="39"/>
      <c r="B25" s="45">
        <v>6</v>
      </c>
      <c r="C25" s="80" t="str">
        <f ca="1">IF(ISBLANK(INDIRECT(ADDRESS(B25*2+2,3))),"",INDIRECT(ADDRESS(B25*2+2,3)))</f>
        <v>Пилипенко Ирина</v>
      </c>
      <c r="D25" s="80"/>
      <c r="E25" s="81"/>
      <c r="F25" s="41">
        <v>1</v>
      </c>
      <c r="G25" s="42">
        <v>13</v>
      </c>
      <c r="H25" s="82" t="str">
        <f ca="1">IF(ISBLANK(INDIRECT(ADDRESS(K25*2+2,3))),"",INDIRECT(ADDRESS(K25*2+2,3)))</f>
        <v>Маркина Елена</v>
      </c>
      <c r="I25" s="80"/>
      <c r="J25" s="80"/>
      <c r="K25" s="45">
        <v>4</v>
      </c>
      <c r="L25" s="43" t="s">
        <v>23</v>
      </c>
      <c r="M25" s="38"/>
    </row>
    <row r="26" spans="1:13" s="40" customFormat="1" ht="30" customHeight="1" thickBot="1">
      <c r="A26" s="39"/>
      <c r="B26" s="45">
        <v>5</v>
      </c>
      <c r="C26" s="80" t="str">
        <f ca="1">IF(ISBLANK(INDIRECT(ADDRESS(B26*2+2,3))),"",INDIRECT(ADDRESS(B26*2+2,3)))</f>
        <v>Фёдорова Анна</v>
      </c>
      <c r="D26" s="80"/>
      <c r="E26" s="81"/>
      <c r="F26" s="41">
        <v>7</v>
      </c>
      <c r="G26" s="42">
        <v>13</v>
      </c>
      <c r="H26" s="82" t="str">
        <f ca="1">IF(ISBLANK(INDIRECT(ADDRESS(K26*2+2,3))),"",INDIRECT(ADDRESS(K26*2+2,3)))</f>
        <v>Дегтярёва Лариса</v>
      </c>
      <c r="I26" s="80"/>
      <c r="J26" s="80"/>
      <c r="K26" s="45">
        <v>3</v>
      </c>
      <c r="L26" s="43" t="s">
        <v>24</v>
      </c>
      <c r="M26" s="38"/>
    </row>
    <row r="27" spans="1:13" s="40" customFormat="1" ht="30" customHeight="1" thickBot="1">
      <c r="A27" s="39"/>
      <c r="B27" s="45">
        <v>1</v>
      </c>
      <c r="C27" s="80" t="str">
        <f ca="1">IF(ISBLANK(INDIRECT(ADDRESS(B27*2+2,3))),"",INDIRECT(ADDRESS(B27*2+2,3)))</f>
        <v>Мусина Ева</v>
      </c>
      <c r="D27" s="80"/>
      <c r="E27" s="81"/>
      <c r="F27" s="41">
        <v>13</v>
      </c>
      <c r="G27" s="42">
        <v>5</v>
      </c>
      <c r="H27" s="82" t="str">
        <f ca="1">IF(ISBLANK(INDIRECT(ADDRESS(K27*2+2,3))),"",INDIRECT(ADDRESS(K27*2+2,3)))</f>
        <v>Дегтярёва Мила</v>
      </c>
      <c r="I27" s="80"/>
      <c r="J27" s="80"/>
      <c r="K27" s="45">
        <v>2</v>
      </c>
      <c r="L27" s="43" t="s">
        <v>25</v>
      </c>
      <c r="M27" s="38"/>
    </row>
    <row r="28" spans="1:13" s="40" customFormat="1" ht="30" customHeight="1">
      <c r="A28" s="39"/>
      <c r="M28" s="46"/>
    </row>
    <row r="29" spans="1:13" s="40" customFormat="1" ht="30" customHeight="1" thickBot="1">
      <c r="A29" s="39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46"/>
    </row>
    <row r="30" spans="1:13" s="40" customFormat="1" ht="30" customHeight="1" thickBot="1">
      <c r="A30" s="39"/>
      <c r="B30" s="45">
        <v>2</v>
      </c>
      <c r="C30" s="80" t="str">
        <f ca="1">IF(ISBLANK(INDIRECT(ADDRESS(B30*2+2,3))),"",INDIRECT(ADDRESS(B30*2+2,3)))</f>
        <v>Дегтярёва Мила</v>
      </c>
      <c r="D30" s="80"/>
      <c r="E30" s="81"/>
      <c r="F30" s="41">
        <v>13</v>
      </c>
      <c r="G30" s="42">
        <v>2</v>
      </c>
      <c r="H30" s="82" t="str">
        <f ca="1">IF(ISBLANK(INDIRECT(ADDRESS(K30*2+2,3))),"",INDIRECT(ADDRESS(K30*2+2,3)))</f>
        <v>Пилипенко Ирина</v>
      </c>
      <c r="I30" s="80"/>
      <c r="J30" s="80"/>
      <c r="K30" s="45">
        <v>6</v>
      </c>
      <c r="L30" s="43" t="s">
        <v>20</v>
      </c>
      <c r="M30" s="38"/>
    </row>
    <row r="31" spans="1:13" s="40" customFormat="1" ht="30" customHeight="1" thickBot="1">
      <c r="A31" s="39"/>
      <c r="B31" s="45">
        <v>3</v>
      </c>
      <c r="C31" s="80" t="str">
        <f ca="1">IF(ISBLANK(INDIRECT(ADDRESS(B31*2+2,3))),"",INDIRECT(ADDRESS(B31*2+2,3)))</f>
        <v>Дегтярёва Лариса</v>
      </c>
      <c r="D31" s="80"/>
      <c r="E31" s="81"/>
      <c r="F31" s="41">
        <v>13</v>
      </c>
      <c r="G31" s="42">
        <v>9</v>
      </c>
      <c r="H31" s="82" t="str">
        <f ca="1">IF(ISBLANK(INDIRECT(ADDRESS(K31*2+2,3))),"",INDIRECT(ADDRESS(K31*2+2,3)))</f>
        <v>Мусина Ева</v>
      </c>
      <c r="I31" s="80"/>
      <c r="J31" s="80"/>
      <c r="K31" s="45">
        <v>1</v>
      </c>
      <c r="L31" s="43" t="s">
        <v>21</v>
      </c>
      <c r="M31" s="38"/>
    </row>
    <row r="32" spans="1:13" s="40" customFormat="1" ht="30" customHeight="1" thickBot="1">
      <c r="A32" s="39"/>
      <c r="B32" s="45">
        <v>4</v>
      </c>
      <c r="C32" s="80" t="str">
        <f ca="1">IF(ISBLANK(INDIRECT(ADDRESS(B32*2+2,3))),"",INDIRECT(ADDRESS(B32*2+2,3)))</f>
        <v>Маркина Елена</v>
      </c>
      <c r="D32" s="80"/>
      <c r="E32" s="81"/>
      <c r="F32" s="41">
        <v>9</v>
      </c>
      <c r="G32" s="42">
        <v>11</v>
      </c>
      <c r="H32" s="82" t="str">
        <f ca="1">IF(ISBLANK(INDIRECT(ADDRESS(K32*2+2,3))),"",INDIRECT(ADDRESS(K32*2+2,3)))</f>
        <v>Фёдорова Анна</v>
      </c>
      <c r="I32" s="80"/>
      <c r="J32" s="80"/>
      <c r="K32" s="45">
        <v>5</v>
      </c>
      <c r="L32" s="43" t="s">
        <v>22</v>
      </c>
      <c r="M32" s="38"/>
    </row>
    <row r="33" spans="1:13" s="40" customFormat="1" ht="30" customHeight="1">
      <c r="A33" s="39"/>
      <c r="M33" s="46"/>
    </row>
    <row r="34" spans="1:13" s="40" customFormat="1" ht="30" customHeight="1" thickBot="1">
      <c r="A34" s="39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46"/>
    </row>
    <row r="35" spans="1:13" s="40" customFormat="1" ht="30" customHeight="1" thickBot="1">
      <c r="A35" s="39"/>
      <c r="B35" s="45">
        <v>6</v>
      </c>
      <c r="C35" s="80" t="str">
        <f ca="1">IF(ISBLANK(INDIRECT(ADDRESS(B35*2+2,3))),"",INDIRECT(ADDRESS(B35*2+2,3)))</f>
        <v>Пилипенко Ирина</v>
      </c>
      <c r="D35" s="80"/>
      <c r="E35" s="81"/>
      <c r="F35" s="41">
        <v>8</v>
      </c>
      <c r="G35" s="42">
        <v>13</v>
      </c>
      <c r="H35" s="82" t="str">
        <f ca="1">IF(ISBLANK(INDIRECT(ADDRESS(K35*2+2,3))),"",INDIRECT(ADDRESS(K35*2+2,3)))</f>
        <v>Фёдорова Анна</v>
      </c>
      <c r="I35" s="80"/>
      <c r="J35" s="80"/>
      <c r="K35" s="45">
        <v>5</v>
      </c>
      <c r="L35" s="43" t="s">
        <v>23</v>
      </c>
      <c r="M35" s="38"/>
    </row>
    <row r="36" spans="1:13" s="40" customFormat="1" ht="30" customHeight="1" thickBot="1">
      <c r="A36" s="39"/>
      <c r="B36" s="45">
        <v>1</v>
      </c>
      <c r="C36" s="80" t="str">
        <f ca="1">IF(ISBLANK(INDIRECT(ADDRESS(B36*2+2,3))),"",INDIRECT(ADDRESS(B36*2+2,3)))</f>
        <v>Мусина Ева</v>
      </c>
      <c r="D36" s="80"/>
      <c r="E36" s="81"/>
      <c r="F36" s="41">
        <v>13</v>
      </c>
      <c r="G36" s="42">
        <v>2</v>
      </c>
      <c r="H36" s="82" t="str">
        <f ca="1">IF(ISBLANK(INDIRECT(ADDRESS(K36*2+2,3))),"",INDIRECT(ADDRESS(K36*2+2,3)))</f>
        <v>Маркина Елена</v>
      </c>
      <c r="I36" s="80"/>
      <c r="J36" s="80"/>
      <c r="K36" s="45">
        <v>4</v>
      </c>
      <c r="L36" s="43" t="s">
        <v>24</v>
      </c>
      <c r="M36" s="38"/>
    </row>
    <row r="37" spans="1:13" s="40" customFormat="1" ht="30" customHeight="1" thickBot="1">
      <c r="A37" s="39"/>
      <c r="B37" s="45">
        <v>2</v>
      </c>
      <c r="C37" s="80" t="str">
        <f ca="1">IF(ISBLANK(INDIRECT(ADDRESS(B37*2+2,3))),"",INDIRECT(ADDRESS(B37*2+2,3)))</f>
        <v>Дегтярёва Мила</v>
      </c>
      <c r="D37" s="80"/>
      <c r="E37" s="81"/>
      <c r="F37" s="41">
        <v>13</v>
      </c>
      <c r="G37" s="42">
        <v>2</v>
      </c>
      <c r="H37" s="82" t="str">
        <f ca="1">IF(ISBLANK(INDIRECT(ADDRESS(K37*2+2,3))),"",INDIRECT(ADDRESS(K37*2+2,3)))</f>
        <v>Дегтярёва Лариса</v>
      </c>
      <c r="I37" s="80"/>
      <c r="J37" s="80"/>
      <c r="K37" s="45">
        <v>3</v>
      </c>
      <c r="L37" s="43" t="s">
        <v>25</v>
      </c>
      <c r="M37" s="38"/>
    </row>
    <row r="38" spans="1:13" s="40" customFormat="1" ht="30" customHeight="1">
      <c r="A38" s="39"/>
      <c r="M38" s="46"/>
    </row>
    <row r="39" spans="1:13" s="40" customFormat="1" ht="30" customHeight="1" thickBot="1">
      <c r="A39" s="39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46"/>
    </row>
    <row r="40" spans="1:13" s="40" customFormat="1" ht="30" customHeight="1" thickBot="1">
      <c r="A40" s="39"/>
      <c r="B40" s="45">
        <v>3</v>
      </c>
      <c r="C40" s="80" t="str">
        <f ca="1">IF(ISBLANK(INDIRECT(ADDRESS(B40*2+2,3))),"",INDIRECT(ADDRESS(B40*2+2,3)))</f>
        <v>Дегтярёва Лариса</v>
      </c>
      <c r="D40" s="80"/>
      <c r="E40" s="81"/>
      <c r="F40" s="41">
        <v>13</v>
      </c>
      <c r="G40" s="42">
        <v>4</v>
      </c>
      <c r="H40" s="82" t="str">
        <f ca="1">IF(ISBLANK(INDIRECT(ADDRESS(K40*2+2,3))),"",INDIRECT(ADDRESS(K40*2+2,3)))</f>
        <v>Пилипенко Ирина</v>
      </c>
      <c r="I40" s="80"/>
      <c r="J40" s="80"/>
      <c r="K40" s="45">
        <v>6</v>
      </c>
      <c r="L40" s="43" t="s">
        <v>20</v>
      </c>
      <c r="M40" s="38"/>
    </row>
    <row r="41" spans="1:13" s="40" customFormat="1" ht="30" customHeight="1" thickBot="1">
      <c r="A41" s="39"/>
      <c r="B41" s="45">
        <v>4</v>
      </c>
      <c r="C41" s="80" t="str">
        <f ca="1">IF(ISBLANK(INDIRECT(ADDRESS(B41*2+2,3))),"",INDIRECT(ADDRESS(B41*2+2,3)))</f>
        <v>Маркина Елена</v>
      </c>
      <c r="D41" s="80"/>
      <c r="E41" s="81"/>
      <c r="F41" s="41">
        <v>5</v>
      </c>
      <c r="G41" s="42">
        <v>13</v>
      </c>
      <c r="H41" s="82" t="str">
        <f ca="1">IF(ISBLANK(INDIRECT(ADDRESS(K41*2+2,3))),"",INDIRECT(ADDRESS(K41*2+2,3)))</f>
        <v>Дегтярёва Мила</v>
      </c>
      <c r="I41" s="80"/>
      <c r="J41" s="80"/>
      <c r="K41" s="45">
        <v>2</v>
      </c>
      <c r="L41" s="43" t="s">
        <v>21</v>
      </c>
      <c r="M41" s="38"/>
    </row>
    <row r="42" spans="1:13" s="40" customFormat="1" ht="30" customHeight="1" thickBot="1">
      <c r="A42" s="39"/>
      <c r="B42" s="45">
        <v>5</v>
      </c>
      <c r="C42" s="80" t="str">
        <f ca="1">IF(ISBLANK(INDIRECT(ADDRESS(B42*2+2,3))),"",INDIRECT(ADDRESS(B42*2+2,3)))</f>
        <v>Фёдорова Анна</v>
      </c>
      <c r="D42" s="80"/>
      <c r="E42" s="81"/>
      <c r="F42" s="41">
        <v>7</v>
      </c>
      <c r="G42" s="42">
        <v>13</v>
      </c>
      <c r="H42" s="82" t="str">
        <f ca="1">IF(ISBLANK(INDIRECT(ADDRESS(K42*2+2,3))),"",INDIRECT(ADDRESS(K42*2+2,3)))</f>
        <v>Мусина Ева</v>
      </c>
      <c r="I42" s="80"/>
      <c r="J42" s="80"/>
      <c r="K42" s="45">
        <v>1</v>
      </c>
      <c r="L42" s="43" t="s">
        <v>22</v>
      </c>
      <c r="M42" s="38"/>
    </row>
    <row r="45" spans="1:13" ht="21">
      <c r="B45" s="59" t="s">
        <v>103</v>
      </c>
      <c r="C45" s="59"/>
      <c r="D45" s="59"/>
      <c r="E45" s="59"/>
      <c r="F45" s="59"/>
      <c r="G45" s="59"/>
      <c r="H45" s="40"/>
    </row>
    <row r="46" spans="1:13" ht="21">
      <c r="B46" s="59"/>
      <c r="C46" s="59"/>
      <c r="D46" s="59"/>
      <c r="E46" s="59"/>
      <c r="F46" s="59"/>
      <c r="G46" s="59"/>
      <c r="H46" s="40"/>
    </row>
    <row r="47" spans="1:13" ht="21">
      <c r="B47" s="59"/>
      <c r="C47" s="59"/>
      <c r="D47" s="59"/>
      <c r="E47" s="59"/>
      <c r="F47" s="59"/>
      <c r="G47" s="59"/>
      <c r="H47" s="40"/>
    </row>
    <row r="48" spans="1:13" ht="21">
      <c r="B48" s="59" t="s">
        <v>104</v>
      </c>
      <c r="C48" s="59"/>
      <c r="D48" s="59"/>
      <c r="E48" s="59"/>
      <c r="F48" s="59"/>
      <c r="G48" s="59"/>
      <c r="H48" s="40"/>
    </row>
  </sheetData>
  <sheetCalcPr fullCalcOnLoad="1"/>
  <mergeCells count="61">
    <mergeCell ref="B6:B7"/>
    <mergeCell ref="C6:E7"/>
    <mergeCell ref="L6:L7"/>
    <mergeCell ref="B1:N1"/>
    <mergeCell ref="N6:N7"/>
    <mergeCell ref="C3:E3"/>
    <mergeCell ref="B4:B5"/>
    <mergeCell ref="C4:E5"/>
    <mergeCell ref="L4:L5"/>
    <mergeCell ref="N4:N5"/>
    <mergeCell ref="N10:N11"/>
    <mergeCell ref="B8:B9"/>
    <mergeCell ref="C8:E9"/>
    <mergeCell ref="L8:L9"/>
    <mergeCell ref="N8:N9"/>
    <mergeCell ref="B10:B11"/>
    <mergeCell ref="C10:E11"/>
    <mergeCell ref="L10:L11"/>
    <mergeCell ref="N12:N13"/>
    <mergeCell ref="B14:B15"/>
    <mergeCell ref="C14:E15"/>
    <mergeCell ref="L14:L15"/>
    <mergeCell ref="N14:N15"/>
    <mergeCell ref="L12:L13"/>
    <mergeCell ref="B12:B13"/>
    <mergeCell ref="C12:E13"/>
    <mergeCell ref="C21:E21"/>
    <mergeCell ref="H21:J21"/>
    <mergeCell ref="C30:E30"/>
    <mergeCell ref="H30:J30"/>
    <mergeCell ref="C26:E26"/>
    <mergeCell ref="H26:J26"/>
    <mergeCell ref="B19:K19"/>
    <mergeCell ref="C20:E20"/>
    <mergeCell ref="H20:J20"/>
    <mergeCell ref="C31:E31"/>
    <mergeCell ref="H31:J31"/>
    <mergeCell ref="B29:K29"/>
    <mergeCell ref="C22:E22"/>
    <mergeCell ref="H22:J22"/>
    <mergeCell ref="B24:K24"/>
    <mergeCell ref="C25:E25"/>
    <mergeCell ref="H25:J25"/>
    <mergeCell ref="C27:E27"/>
    <mergeCell ref="H27:J27"/>
    <mergeCell ref="C42:E42"/>
    <mergeCell ref="H42:J42"/>
    <mergeCell ref="B34:K34"/>
    <mergeCell ref="C35:E35"/>
    <mergeCell ref="H35:J35"/>
    <mergeCell ref="C36:E36"/>
    <mergeCell ref="C32:E32"/>
    <mergeCell ref="H32:J32"/>
    <mergeCell ref="C41:E41"/>
    <mergeCell ref="H41:J41"/>
    <mergeCell ref="H36:J36"/>
    <mergeCell ref="C37:E37"/>
    <mergeCell ref="H37:J37"/>
    <mergeCell ref="B39:K39"/>
    <mergeCell ref="C40:E40"/>
    <mergeCell ref="H40:J40"/>
  </mergeCells>
  <phoneticPr fontId="10" type="noConversion"/>
  <printOptions horizontalCentered="1"/>
  <pageMargins left="0.25" right="0.25" top="0.75" bottom="0.75" header="0.3" footer="0.3"/>
  <pageSetup paperSize="9"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6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57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58</v>
      </c>
      <c r="D4" s="104"/>
      <c r="E4" s="105"/>
      <c r="F4" s="9" t="s">
        <v>7</v>
      </c>
      <c r="G4" s="5" t="str">
        <f ca="1">INDIRECT(ADDRESS(21,6))&amp;":"&amp;INDIRECT(ADDRESS(21,7))</f>
        <v>13:9</v>
      </c>
      <c r="H4" s="5" t="str">
        <f ca="1">INDIRECT(ADDRESS(25,7))&amp;":"&amp;INDIRECT(ADDRESS(25,6))</f>
        <v>8:13</v>
      </c>
      <c r="I4" s="20" t="str">
        <f ca="1">INDIRECT(ADDRESS(16,6))&amp;":"&amp;INDIRECT(ADDRESS(16,7))</f>
        <v>13:3</v>
      </c>
      <c r="J4" s="122">
        <f ca="1">IF(COUNT(F5:I5)=0,"",COUNTIF(F5:I5,"&gt;0")+0.5*COUNTIF(F5:I5,0))</f>
        <v>2</v>
      </c>
      <c r="K4" s="23">
        <v>-1</v>
      </c>
      <c r="L4" s="123">
        <v>3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4</v>
      </c>
      <c r="H5" s="16">
        <f ca="1">IF(LEN(INDIRECT(ADDRESS(ROW()-1, COLUMN())))=1,"",INDIRECT(ADDRESS(25,7))-INDIRECT(ADDRESS(25,6)))</f>
        <v>-5</v>
      </c>
      <c r="I5" s="17">
        <f ca="1">IF(LEN(INDIRECT(ADDRESS(ROW()-1, COLUMN())))=1,"",INDIRECT(ADDRESS(16,6))-INDIRECT(ADDRESS(16,7)))</f>
        <v>10</v>
      </c>
      <c r="J5" s="117"/>
      <c r="K5" s="16">
        <f ca="1">IF(COUNT(F5:I5)=0,"",SUM(F5:I5))</f>
        <v>9</v>
      </c>
      <c r="L5" s="118"/>
    </row>
    <row r="6" spans="1:14" ht="24" customHeight="1">
      <c r="B6" s="89">
        <v>2</v>
      </c>
      <c r="C6" s="84" t="s">
        <v>59</v>
      </c>
      <c r="D6" s="85"/>
      <c r="E6" s="86"/>
      <c r="F6" s="11" t="str">
        <f ca="1">INDIRECT(ADDRESS(21,7))&amp;":"&amp;INDIRECT(ADDRESS(21,6))</f>
        <v>9:13</v>
      </c>
      <c r="G6" s="7" t="s">
        <v>7</v>
      </c>
      <c r="H6" s="6" t="str">
        <f ca="1">INDIRECT(ADDRESS(17,6))&amp;":"&amp;INDIRECT(ADDRESS(17,7))</f>
        <v>13:8</v>
      </c>
      <c r="I6" s="10" t="str">
        <f ca="1">INDIRECT(ADDRESS(24,6))&amp;":"&amp;INDIRECT(ADDRESS(24,7))</f>
        <v>13:2</v>
      </c>
      <c r="J6" s="117">
        <f ca="1">IF(COUNT(F7:I7)=0,"",COUNTIF(F7:I7,"&gt;0")+0.5*COUNTIF(F7:I7,0))</f>
        <v>2</v>
      </c>
      <c r="K6" s="16">
        <v>1</v>
      </c>
      <c r="L6" s="118">
        <v>1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-4</v>
      </c>
      <c r="G7" s="14" t="s">
        <v>7</v>
      </c>
      <c r="H7" s="16">
        <f ca="1">IF(LEN(INDIRECT(ADDRESS(ROW()-1, COLUMN())))=1,"",INDIRECT(ADDRESS(17,6))-INDIRECT(ADDRESS(17,7)))</f>
        <v>5</v>
      </c>
      <c r="I7" s="17">
        <f ca="1">IF(LEN(INDIRECT(ADDRESS(ROW()-1, COLUMN())))=1,"",INDIRECT(ADDRESS(24,6))-INDIRECT(ADDRESS(24,7)))</f>
        <v>11</v>
      </c>
      <c r="J7" s="117"/>
      <c r="K7" s="16">
        <f ca="1">IF(COUNT(F7:I7)=0,"",SUM(F7:I7))</f>
        <v>12</v>
      </c>
      <c r="L7" s="118"/>
    </row>
    <row r="8" spans="1:14" ht="24" customHeight="1">
      <c r="B8" s="89">
        <v>3</v>
      </c>
      <c r="C8" s="84" t="s">
        <v>60</v>
      </c>
      <c r="D8" s="85"/>
      <c r="E8" s="86"/>
      <c r="F8" s="11" t="str">
        <f ca="1">INDIRECT(ADDRESS(25,6))&amp;":"&amp;INDIRECT(ADDRESS(25,7))</f>
        <v>13:8</v>
      </c>
      <c r="G8" s="6" t="str">
        <f ca="1">INDIRECT(ADDRESS(17,7))&amp;":"&amp;INDIRECT(ADDRESS(17,6))</f>
        <v>8:13</v>
      </c>
      <c r="H8" s="7" t="s">
        <v>7</v>
      </c>
      <c r="I8" s="10" t="str">
        <f ca="1">INDIRECT(ADDRESS(20,7))&amp;":"&amp;INDIRECT(ADDRESS(20,6))</f>
        <v>13:6</v>
      </c>
      <c r="J8" s="117">
        <f ca="1">IF(COUNT(F9:I9)=0,"",COUNTIF(F9:I9,"&gt;0")+0.5*COUNTIF(F9:I9,0))</f>
        <v>2</v>
      </c>
      <c r="K8" s="16">
        <v>0</v>
      </c>
      <c r="L8" s="118">
        <v>2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5</v>
      </c>
      <c r="G9" s="16">
        <f ca="1">IF(LEN(INDIRECT(ADDRESS(ROW()-1, COLUMN())))=1,"",INDIRECT(ADDRESS(17,7))-INDIRECT(ADDRESS(17,6)))</f>
        <v>-5</v>
      </c>
      <c r="H9" s="14" t="s">
        <v>7</v>
      </c>
      <c r="I9" s="17">
        <f ca="1">IF(LEN(INDIRECT(ADDRESS(ROW()-1, COLUMN())))=1,"",INDIRECT(ADDRESS(20,7))-INDIRECT(ADDRESS(20,6)))</f>
        <v>7</v>
      </c>
      <c r="J9" s="117"/>
      <c r="K9" s="16">
        <f ca="1">IF(COUNT(F9:I9)=0,"",SUM(F9:I9))</f>
        <v>7</v>
      </c>
      <c r="L9" s="118"/>
    </row>
    <row r="10" spans="1:14" ht="24" customHeight="1">
      <c r="B10" s="89">
        <v>4</v>
      </c>
      <c r="C10" s="84" t="s">
        <v>61</v>
      </c>
      <c r="D10" s="85"/>
      <c r="E10" s="86"/>
      <c r="F10" s="11" t="str">
        <f ca="1">INDIRECT(ADDRESS(16,7))&amp;":"&amp;INDIRECT(ADDRESS(16,6))</f>
        <v>3:13</v>
      </c>
      <c r="G10" s="6" t="str">
        <f ca="1">INDIRECT(ADDRESS(24,7))&amp;":"&amp;INDIRECT(ADDRESS(24,6))</f>
        <v>2:13</v>
      </c>
      <c r="H10" s="6" t="str">
        <f ca="1">INDIRECT(ADDRESS(20,6))&amp;":"&amp;INDIRECT(ADDRESS(20,7))</f>
        <v>6:13</v>
      </c>
      <c r="I10" s="12" t="s">
        <v>7</v>
      </c>
      <c r="J10" s="117">
        <f ca="1">IF(COUNT(F11:I11)=0,"",COUNTIF(F11:I11,"&gt;0")+0.5*COUNTIF(F11:I11,0))</f>
        <v>0</v>
      </c>
      <c r="K10" s="16"/>
      <c r="L10" s="118">
        <v>4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-10</v>
      </c>
      <c r="G11" s="18">
        <f ca="1">IF(LEN(INDIRECT(ADDRESS(ROW()-1, COLUMN())))=1,"",INDIRECT(ADDRESS(24,7))-INDIRECT(ADDRESS(24,6)))</f>
        <v>-11</v>
      </c>
      <c r="H11" s="18">
        <f ca="1">IF(LEN(INDIRECT(ADDRESS(ROW()-1, COLUMN())))=1,"",INDIRECT(ADDRESS(20,6))-INDIRECT(ADDRESS(20,7)))</f>
        <v>-7</v>
      </c>
      <c r="I11" s="15" t="s">
        <v>7</v>
      </c>
      <c r="J11" s="119"/>
      <c r="K11" s="18">
        <f ca="1">IF(COUNT(F11:I11)=0,"",SUM(F11:I11))</f>
        <v>-28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Галеев Арсений</v>
      </c>
      <c r="D16" s="80"/>
      <c r="E16" s="81"/>
      <c r="F16" s="41">
        <v>13</v>
      </c>
      <c r="G16" s="42">
        <v>3</v>
      </c>
      <c r="H16" s="82" t="str">
        <f ca="1">IF(ISBLANK(INDIRECT(ADDRESS(K16*2+2,3))),"",INDIRECT(ADDRESS(K16*2+2,3)))</f>
        <v>Щербак Данила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Нечаев Максим</v>
      </c>
      <c r="D17" s="80"/>
      <c r="E17" s="81"/>
      <c r="F17" s="41">
        <v>13</v>
      </c>
      <c r="G17" s="42">
        <v>8</v>
      </c>
      <c r="H17" s="82" t="str">
        <f ca="1">IF(ISBLANK(INDIRECT(ADDRESS(K17*2+2,3))),"",INDIRECT(ADDRESS(K17*2+2,3)))</f>
        <v>Шубин Андрей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Щербак Данила</v>
      </c>
      <c r="D20" s="80"/>
      <c r="E20" s="81"/>
      <c r="F20" s="41">
        <v>6</v>
      </c>
      <c r="G20" s="42">
        <v>13</v>
      </c>
      <c r="H20" s="82" t="str">
        <f ca="1">IF(ISBLANK(INDIRECT(ADDRESS(K20*2+2,3))),"",INDIRECT(ADDRESS(K20*2+2,3)))</f>
        <v>Шубин Андрей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Галеев Арсений</v>
      </c>
      <c r="D21" s="80"/>
      <c r="E21" s="81"/>
      <c r="F21" s="41">
        <v>13</v>
      </c>
      <c r="G21" s="42">
        <v>9</v>
      </c>
      <c r="H21" s="82" t="str">
        <f ca="1">IF(ISBLANK(INDIRECT(ADDRESS(K21*2+2,3))),"",INDIRECT(ADDRESS(K21*2+2,3)))</f>
        <v>Нечаев Максим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Нечаев Максим</v>
      </c>
      <c r="D24" s="80"/>
      <c r="E24" s="81"/>
      <c r="F24" s="41">
        <v>13</v>
      </c>
      <c r="G24" s="42">
        <v>2</v>
      </c>
      <c r="H24" s="82" t="str">
        <f ca="1">IF(ISBLANK(INDIRECT(ADDRESS(K24*2+2,3))),"",INDIRECT(ADDRESS(K24*2+2,3)))</f>
        <v>Щербак Данила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Шубин Андрей</v>
      </c>
      <c r="D25" s="80"/>
      <c r="E25" s="81"/>
      <c r="F25" s="41">
        <v>13</v>
      </c>
      <c r="G25" s="42">
        <v>8</v>
      </c>
      <c r="H25" s="82" t="str">
        <f ca="1">IF(ISBLANK(INDIRECT(ADDRESS(K25*2+2,3))),"",INDIRECT(ADDRESS(K25*2+2,3)))</f>
        <v>Галеев Арсений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B6:B7"/>
    <mergeCell ref="C6:E7"/>
    <mergeCell ref="J6:J7"/>
    <mergeCell ref="B1:L1"/>
    <mergeCell ref="L6:L7"/>
    <mergeCell ref="C3:E3"/>
    <mergeCell ref="B4:B5"/>
    <mergeCell ref="C4:E5"/>
    <mergeCell ref="J4:J5"/>
    <mergeCell ref="L4:L5"/>
    <mergeCell ref="B19:K19"/>
    <mergeCell ref="L8:L9"/>
    <mergeCell ref="B10:B11"/>
    <mergeCell ref="C10:E11"/>
    <mergeCell ref="J10:J11"/>
    <mergeCell ref="L10:L11"/>
    <mergeCell ref="B8:B9"/>
    <mergeCell ref="C8:E9"/>
    <mergeCell ref="J8:J9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6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62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45</v>
      </c>
      <c r="D4" s="104"/>
      <c r="E4" s="105"/>
      <c r="F4" s="9" t="s">
        <v>7</v>
      </c>
      <c r="G4" s="5" t="str">
        <f ca="1">INDIRECT(ADDRESS(21,6))&amp;":"&amp;INDIRECT(ADDRESS(21,7))</f>
        <v>13:5</v>
      </c>
      <c r="H4" s="5" t="str">
        <f ca="1">INDIRECT(ADDRESS(25,7))&amp;":"&amp;INDIRECT(ADDRESS(25,6))</f>
        <v>10:11</v>
      </c>
      <c r="I4" s="20" t="str">
        <f ca="1">INDIRECT(ADDRESS(16,6))&amp;":"&amp;INDIRECT(ADDRESS(16,7))</f>
        <v>4:13</v>
      </c>
      <c r="J4" s="122">
        <f ca="1">IF(COUNT(F5:I5)=0,"",COUNTIF(F5:I5,"&gt;0")+0.5*COUNTIF(F5:I5,0))</f>
        <v>1</v>
      </c>
      <c r="K4" s="23"/>
      <c r="L4" s="123">
        <v>3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8</v>
      </c>
      <c r="H5" s="16">
        <f ca="1">IF(LEN(INDIRECT(ADDRESS(ROW()-1, COLUMN())))=1,"",INDIRECT(ADDRESS(25,7))-INDIRECT(ADDRESS(25,6)))</f>
        <v>-1</v>
      </c>
      <c r="I5" s="17">
        <f ca="1">IF(LEN(INDIRECT(ADDRESS(ROW()-1, COLUMN())))=1,"",INDIRECT(ADDRESS(16,6))-INDIRECT(ADDRESS(16,7)))</f>
        <v>-9</v>
      </c>
      <c r="J5" s="117"/>
      <c r="K5" s="16">
        <f ca="1">IF(COUNT(F5:I5)=0,"",SUM(F5:I5))</f>
        <v>-2</v>
      </c>
      <c r="L5" s="118"/>
    </row>
    <row r="6" spans="1:14" ht="24" customHeight="1">
      <c r="B6" s="89">
        <v>2</v>
      </c>
      <c r="C6" s="84" t="s">
        <v>50</v>
      </c>
      <c r="D6" s="85"/>
      <c r="E6" s="86"/>
      <c r="F6" s="11" t="str">
        <f ca="1">INDIRECT(ADDRESS(21,7))&amp;":"&amp;INDIRECT(ADDRESS(21,6))</f>
        <v>5:13</v>
      </c>
      <c r="G6" s="7" t="s">
        <v>7</v>
      </c>
      <c r="H6" s="6" t="str">
        <f ca="1">INDIRECT(ADDRESS(17,6))&amp;":"&amp;INDIRECT(ADDRESS(17,7))</f>
        <v>7:13</v>
      </c>
      <c r="I6" s="10" t="str">
        <f ca="1">INDIRECT(ADDRESS(24,6))&amp;":"&amp;INDIRECT(ADDRESS(24,7))</f>
        <v>5:13</v>
      </c>
      <c r="J6" s="117">
        <f ca="1">IF(COUNT(F7:I7)=0,"",COUNTIF(F7:I7,"&gt;0")+0.5*COUNTIF(F7:I7,0))</f>
        <v>0</v>
      </c>
      <c r="K6" s="16"/>
      <c r="L6" s="118">
        <v>4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-8</v>
      </c>
      <c r="G7" s="14" t="s">
        <v>7</v>
      </c>
      <c r="H7" s="16">
        <f ca="1">IF(LEN(INDIRECT(ADDRESS(ROW()-1, COLUMN())))=1,"",INDIRECT(ADDRESS(17,6))-INDIRECT(ADDRESS(17,7)))</f>
        <v>-6</v>
      </c>
      <c r="I7" s="17">
        <f ca="1">IF(LEN(INDIRECT(ADDRESS(ROW()-1, COLUMN())))=1,"",INDIRECT(ADDRESS(24,6))-INDIRECT(ADDRESS(24,7)))</f>
        <v>-8</v>
      </c>
      <c r="J7" s="117"/>
      <c r="K7" s="16">
        <f ca="1">IF(COUNT(F7:I7)=0,"",SUM(F7:I7))</f>
        <v>-22</v>
      </c>
      <c r="L7" s="118"/>
    </row>
    <row r="8" spans="1:14" ht="24" customHeight="1">
      <c r="B8" s="89">
        <v>3</v>
      </c>
      <c r="C8" s="84" t="s">
        <v>54</v>
      </c>
      <c r="D8" s="85"/>
      <c r="E8" s="86"/>
      <c r="F8" s="11" t="str">
        <f ca="1">INDIRECT(ADDRESS(25,6))&amp;":"&amp;INDIRECT(ADDRESS(25,7))</f>
        <v>11:10</v>
      </c>
      <c r="G8" s="6" t="str">
        <f ca="1">INDIRECT(ADDRESS(17,7))&amp;":"&amp;INDIRECT(ADDRESS(17,6))</f>
        <v>13:7</v>
      </c>
      <c r="H8" s="7" t="s">
        <v>7</v>
      </c>
      <c r="I8" s="10" t="str">
        <f ca="1">INDIRECT(ADDRESS(20,7))&amp;":"&amp;INDIRECT(ADDRESS(20,6))</f>
        <v>13:8</v>
      </c>
      <c r="J8" s="117">
        <f ca="1">IF(COUNT(F9:I9)=0,"",COUNTIF(F9:I9,"&gt;0")+0.5*COUNTIF(F9:I9,0))</f>
        <v>3</v>
      </c>
      <c r="K8" s="16"/>
      <c r="L8" s="118">
        <v>1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1</v>
      </c>
      <c r="G9" s="16">
        <f ca="1">IF(LEN(INDIRECT(ADDRESS(ROW()-1, COLUMN())))=1,"",INDIRECT(ADDRESS(17,7))-INDIRECT(ADDRESS(17,6)))</f>
        <v>6</v>
      </c>
      <c r="H9" s="14" t="s">
        <v>7</v>
      </c>
      <c r="I9" s="17">
        <f ca="1">IF(LEN(INDIRECT(ADDRESS(ROW()-1, COLUMN())))=1,"",INDIRECT(ADDRESS(20,7))-INDIRECT(ADDRESS(20,6)))</f>
        <v>5</v>
      </c>
      <c r="J9" s="117"/>
      <c r="K9" s="16">
        <f ca="1">IF(COUNT(F9:I9)=0,"",SUM(F9:I9))</f>
        <v>12</v>
      </c>
      <c r="L9" s="118"/>
    </row>
    <row r="10" spans="1:14" ht="24" customHeight="1">
      <c r="B10" s="89">
        <v>4</v>
      </c>
      <c r="C10" s="84" t="s">
        <v>60</v>
      </c>
      <c r="D10" s="85"/>
      <c r="E10" s="86"/>
      <c r="F10" s="11" t="str">
        <f ca="1">INDIRECT(ADDRESS(16,7))&amp;":"&amp;INDIRECT(ADDRESS(16,6))</f>
        <v>13:4</v>
      </c>
      <c r="G10" s="6" t="str">
        <f ca="1">INDIRECT(ADDRESS(24,7))&amp;":"&amp;INDIRECT(ADDRESS(24,6))</f>
        <v>13:5</v>
      </c>
      <c r="H10" s="6" t="str">
        <f ca="1">INDIRECT(ADDRESS(20,6))&amp;":"&amp;INDIRECT(ADDRESS(20,7))</f>
        <v>8:13</v>
      </c>
      <c r="I10" s="12" t="s">
        <v>7</v>
      </c>
      <c r="J10" s="117">
        <f ca="1">IF(COUNT(F11:I11)=0,"",COUNTIF(F11:I11,"&gt;0")+0.5*COUNTIF(F11:I11,0))</f>
        <v>2</v>
      </c>
      <c r="K10" s="16"/>
      <c r="L10" s="118">
        <v>2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9</v>
      </c>
      <c r="G11" s="18">
        <f ca="1">IF(LEN(INDIRECT(ADDRESS(ROW()-1, COLUMN())))=1,"",INDIRECT(ADDRESS(24,7))-INDIRECT(ADDRESS(24,6)))</f>
        <v>8</v>
      </c>
      <c r="H11" s="18">
        <f ca="1">IF(LEN(INDIRECT(ADDRESS(ROW()-1, COLUMN())))=1,"",INDIRECT(ADDRESS(20,6))-INDIRECT(ADDRESS(20,7)))</f>
        <v>-5</v>
      </c>
      <c r="I11" s="15" t="s">
        <v>7</v>
      </c>
      <c r="J11" s="119"/>
      <c r="K11" s="18">
        <f ca="1">IF(COUNT(F11:I11)=0,"",SUM(F11:I11))</f>
        <v>12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Матвеенко Борис</v>
      </c>
      <c r="D16" s="80"/>
      <c r="E16" s="81"/>
      <c r="F16" s="41">
        <v>4</v>
      </c>
      <c r="G16" s="42">
        <v>13</v>
      </c>
      <c r="H16" s="82" t="str">
        <f ca="1">IF(ISBLANK(INDIRECT(ADDRESS(K16*2+2,3))),"",INDIRECT(ADDRESS(K16*2+2,3)))</f>
        <v>Шубин Андрей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Дорошенко Анатолий</v>
      </c>
      <c r="D17" s="80"/>
      <c r="E17" s="81"/>
      <c r="F17" s="41">
        <v>7</v>
      </c>
      <c r="G17" s="42">
        <v>13</v>
      </c>
      <c r="H17" s="82" t="str">
        <f ca="1">IF(ISBLANK(INDIRECT(ADDRESS(K17*2+2,3))),"",INDIRECT(ADDRESS(K17*2+2,3)))</f>
        <v>Курков Олег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Шубин Андрей</v>
      </c>
      <c r="D20" s="80"/>
      <c r="E20" s="81"/>
      <c r="F20" s="41">
        <v>8</v>
      </c>
      <c r="G20" s="42">
        <v>13</v>
      </c>
      <c r="H20" s="82" t="str">
        <f ca="1">IF(ISBLANK(INDIRECT(ADDRESS(K20*2+2,3))),"",INDIRECT(ADDRESS(K20*2+2,3)))</f>
        <v>Курков Олег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Матвеенко Борис</v>
      </c>
      <c r="D21" s="80"/>
      <c r="E21" s="81"/>
      <c r="F21" s="41">
        <v>13</v>
      </c>
      <c r="G21" s="42">
        <v>5</v>
      </c>
      <c r="H21" s="82" t="str">
        <f ca="1">IF(ISBLANK(INDIRECT(ADDRESS(K21*2+2,3))),"",INDIRECT(ADDRESS(K21*2+2,3)))</f>
        <v>Дорошенко Анатолий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Дорошенко Анатолий</v>
      </c>
      <c r="D24" s="80"/>
      <c r="E24" s="81"/>
      <c r="F24" s="41">
        <v>5</v>
      </c>
      <c r="G24" s="42">
        <v>13</v>
      </c>
      <c r="H24" s="82" t="str">
        <f ca="1">IF(ISBLANK(INDIRECT(ADDRESS(K24*2+2,3))),"",INDIRECT(ADDRESS(K24*2+2,3)))</f>
        <v>Шубин Андрей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Курков Олег</v>
      </c>
      <c r="D25" s="80"/>
      <c r="E25" s="81"/>
      <c r="F25" s="41">
        <v>11</v>
      </c>
      <c r="G25" s="42">
        <v>10</v>
      </c>
      <c r="H25" s="82" t="str">
        <f ca="1">IF(ISBLANK(INDIRECT(ADDRESS(K25*2+2,3))),"",INDIRECT(ADDRESS(K25*2+2,3)))</f>
        <v>Матвеенко Борис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B19:K19"/>
    <mergeCell ref="C16:E16"/>
    <mergeCell ref="H16:J16"/>
    <mergeCell ref="C17:E17"/>
    <mergeCell ref="H17:J17"/>
    <mergeCell ref="L8:L9"/>
    <mergeCell ref="B10:B11"/>
    <mergeCell ref="C10:E11"/>
    <mergeCell ref="J10:J11"/>
    <mergeCell ref="L10:L11"/>
    <mergeCell ref="B1:L1"/>
    <mergeCell ref="L6:L7"/>
    <mergeCell ref="C3:E3"/>
    <mergeCell ref="B4:B5"/>
    <mergeCell ref="C4:E5"/>
    <mergeCell ref="J4:J5"/>
    <mergeCell ref="L4:L5"/>
    <mergeCell ref="B15:K15"/>
    <mergeCell ref="B6:B7"/>
    <mergeCell ref="C6:E7"/>
    <mergeCell ref="J6:J7"/>
    <mergeCell ref="C8:E9"/>
    <mergeCell ref="J8:J9"/>
    <mergeCell ref="B8:B9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9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63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43</v>
      </c>
      <c r="D4" s="104"/>
      <c r="E4" s="105"/>
      <c r="F4" s="9" t="s">
        <v>7</v>
      </c>
      <c r="G4" s="5" t="str">
        <f ca="1">INDIRECT(ADDRESS(21,6))&amp;":"&amp;INDIRECT(ADDRESS(21,7))</f>
        <v>13:9</v>
      </c>
      <c r="H4" s="5" t="str">
        <f ca="1">INDIRECT(ADDRESS(25,7))&amp;":"&amp;INDIRECT(ADDRESS(25,6))</f>
        <v>3:13</v>
      </c>
      <c r="I4" s="20" t="str">
        <f ca="1">INDIRECT(ADDRESS(16,6))&amp;":"&amp;INDIRECT(ADDRESS(16,7))</f>
        <v>12:8</v>
      </c>
      <c r="J4" s="122">
        <f ca="1">IF(COUNT(F5:I5)=0,"",COUNTIF(F5:I5,"&gt;0")+0.5*COUNTIF(F5:I5,0))</f>
        <v>2</v>
      </c>
      <c r="K4" s="23">
        <v>-10</v>
      </c>
      <c r="L4" s="123">
        <v>2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4</v>
      </c>
      <c r="H5" s="16">
        <f ca="1">IF(LEN(INDIRECT(ADDRESS(ROW()-1, COLUMN())))=1,"",INDIRECT(ADDRESS(25,7))-INDIRECT(ADDRESS(25,6)))</f>
        <v>-10</v>
      </c>
      <c r="I5" s="17">
        <f ca="1">IF(LEN(INDIRECT(ADDRESS(ROW()-1, COLUMN())))=1,"",INDIRECT(ADDRESS(16,6))-INDIRECT(ADDRESS(16,7)))</f>
        <v>4</v>
      </c>
      <c r="J5" s="117"/>
      <c r="K5" s="16">
        <f ca="1">IF(COUNT(F5:I5)=0,"",SUM(F5:I5))</f>
        <v>-2</v>
      </c>
      <c r="L5" s="118"/>
    </row>
    <row r="6" spans="1:14" ht="24" customHeight="1">
      <c r="B6" s="89">
        <v>2</v>
      </c>
      <c r="C6" s="84" t="s">
        <v>48</v>
      </c>
      <c r="D6" s="85"/>
      <c r="E6" s="86"/>
      <c r="F6" s="11" t="str">
        <f ca="1">INDIRECT(ADDRESS(21,7))&amp;":"&amp;INDIRECT(ADDRESS(21,6))</f>
        <v>9:13</v>
      </c>
      <c r="G6" s="7" t="s">
        <v>7</v>
      </c>
      <c r="H6" s="6" t="str">
        <f ca="1">INDIRECT(ADDRESS(17,6))&amp;":"&amp;INDIRECT(ADDRESS(17,7))</f>
        <v>13:9</v>
      </c>
      <c r="I6" s="10" t="str">
        <f ca="1">INDIRECT(ADDRESS(24,6))&amp;":"&amp;INDIRECT(ADDRESS(24,7))</f>
        <v>2:13</v>
      </c>
      <c r="J6" s="117">
        <f ca="1">IF(COUNT(F7:I7)=0,"",COUNTIF(F7:I7,"&gt;0")+0.5*COUNTIF(F7:I7,0))</f>
        <v>1</v>
      </c>
      <c r="K6" s="16">
        <v>-11</v>
      </c>
      <c r="L6" s="118">
        <v>4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-4</v>
      </c>
      <c r="G7" s="14" t="s">
        <v>7</v>
      </c>
      <c r="H7" s="16">
        <f ca="1">IF(LEN(INDIRECT(ADDRESS(ROW()-1, COLUMN())))=1,"",INDIRECT(ADDRESS(17,6))-INDIRECT(ADDRESS(17,7)))</f>
        <v>4</v>
      </c>
      <c r="I7" s="17">
        <f ca="1">IF(LEN(INDIRECT(ADDRESS(ROW()-1, COLUMN())))=1,"",INDIRECT(ADDRESS(24,6))-INDIRECT(ADDRESS(24,7)))</f>
        <v>-11</v>
      </c>
      <c r="J7" s="117"/>
      <c r="K7" s="16">
        <f ca="1">IF(COUNT(F7:I7)=0,"",SUM(F7:I7))</f>
        <v>-11</v>
      </c>
      <c r="L7" s="118"/>
    </row>
    <row r="8" spans="1:14" ht="24" customHeight="1">
      <c r="B8" s="89">
        <v>3</v>
      </c>
      <c r="C8" s="84" t="s">
        <v>53</v>
      </c>
      <c r="D8" s="85"/>
      <c r="E8" s="86"/>
      <c r="F8" s="11" t="str">
        <f ca="1">INDIRECT(ADDRESS(25,6))&amp;":"&amp;INDIRECT(ADDRESS(25,7))</f>
        <v>13:3</v>
      </c>
      <c r="G8" s="6" t="str">
        <f ca="1">INDIRECT(ADDRESS(17,7))&amp;":"&amp;INDIRECT(ADDRESS(17,6))</f>
        <v>9:13</v>
      </c>
      <c r="H8" s="7" t="s">
        <v>7</v>
      </c>
      <c r="I8" s="10" t="str">
        <f ca="1">INDIRECT(ADDRESS(20,7))&amp;":"&amp;INDIRECT(ADDRESS(20,6))</f>
        <v>13:3</v>
      </c>
      <c r="J8" s="117">
        <f ca="1">IF(COUNT(F9:I9)=0,"",COUNTIF(F9:I9,"&gt;0")+0.5*COUNTIF(F9:I9,0))</f>
        <v>2</v>
      </c>
      <c r="K8" s="16">
        <v>10</v>
      </c>
      <c r="L8" s="118">
        <v>1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10</v>
      </c>
      <c r="G9" s="16">
        <f ca="1">IF(LEN(INDIRECT(ADDRESS(ROW()-1, COLUMN())))=1,"",INDIRECT(ADDRESS(17,7))-INDIRECT(ADDRESS(17,6)))</f>
        <v>-4</v>
      </c>
      <c r="H9" s="14" t="s">
        <v>7</v>
      </c>
      <c r="I9" s="17">
        <f ca="1">IF(LEN(INDIRECT(ADDRESS(ROW()-1, COLUMN())))=1,"",INDIRECT(ADDRESS(20,7))-INDIRECT(ADDRESS(20,6)))</f>
        <v>10</v>
      </c>
      <c r="J9" s="117"/>
      <c r="K9" s="16">
        <f ca="1">IF(COUNT(F9:I9)=0,"",SUM(F9:I9))</f>
        <v>16</v>
      </c>
      <c r="L9" s="118"/>
    </row>
    <row r="10" spans="1:14" ht="24" customHeight="1">
      <c r="B10" s="89">
        <v>4</v>
      </c>
      <c r="C10" s="84" t="s">
        <v>59</v>
      </c>
      <c r="D10" s="85"/>
      <c r="E10" s="86"/>
      <c r="F10" s="11" t="str">
        <f ca="1">INDIRECT(ADDRESS(16,7))&amp;":"&amp;INDIRECT(ADDRESS(16,6))</f>
        <v>8:12</v>
      </c>
      <c r="G10" s="6" t="str">
        <f ca="1">INDIRECT(ADDRESS(24,7))&amp;":"&amp;INDIRECT(ADDRESS(24,6))</f>
        <v>13:2</v>
      </c>
      <c r="H10" s="6" t="str">
        <f ca="1">INDIRECT(ADDRESS(20,6))&amp;":"&amp;INDIRECT(ADDRESS(20,7))</f>
        <v>3:13</v>
      </c>
      <c r="I10" s="12" t="s">
        <v>7</v>
      </c>
      <c r="J10" s="117">
        <f ca="1">IF(COUNT(F11:I11)=0,"",COUNTIF(F11:I11,"&gt;0")+0.5*COUNTIF(F11:I11,0))</f>
        <v>1</v>
      </c>
      <c r="K10" s="16">
        <v>11</v>
      </c>
      <c r="L10" s="118">
        <v>3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-4</v>
      </c>
      <c r="G11" s="18">
        <f ca="1">IF(LEN(INDIRECT(ADDRESS(ROW()-1, COLUMN())))=1,"",INDIRECT(ADDRESS(24,7))-INDIRECT(ADDRESS(24,6)))</f>
        <v>11</v>
      </c>
      <c r="H11" s="18">
        <f ca="1">IF(LEN(INDIRECT(ADDRESS(ROW()-1, COLUMN())))=1,"",INDIRECT(ADDRESS(20,6))-INDIRECT(ADDRESS(20,7)))</f>
        <v>-10</v>
      </c>
      <c r="I11" s="15" t="s">
        <v>7</v>
      </c>
      <c r="J11" s="119"/>
      <c r="K11" s="18">
        <f ca="1">IF(COUNT(F11:I11)=0,"",SUM(F11:I11))</f>
        <v>-3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Капран-Индаяти Сергей</v>
      </c>
      <c r="D16" s="80"/>
      <c r="E16" s="81"/>
      <c r="F16" s="41">
        <v>12</v>
      </c>
      <c r="G16" s="42">
        <v>8</v>
      </c>
      <c r="H16" s="82" t="str">
        <f ca="1">IF(ISBLANK(INDIRECT(ADDRESS(K16*2+2,3))),"",INDIRECT(ADDRESS(K16*2+2,3)))</f>
        <v>Нечаев Максим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Лукин Сергей</v>
      </c>
      <c r="D17" s="80"/>
      <c r="E17" s="81"/>
      <c r="F17" s="41">
        <v>13</v>
      </c>
      <c r="G17" s="42">
        <v>9</v>
      </c>
      <c r="H17" s="82" t="str">
        <f ca="1">IF(ISBLANK(INDIRECT(ADDRESS(K17*2+2,3))),"",INDIRECT(ADDRESS(K17*2+2,3)))</f>
        <v>Ерёмин Павел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Нечаев Максим</v>
      </c>
      <c r="D20" s="80"/>
      <c r="E20" s="81"/>
      <c r="F20" s="41">
        <v>3</v>
      </c>
      <c r="G20" s="42">
        <v>13</v>
      </c>
      <c r="H20" s="82" t="str">
        <f ca="1">IF(ISBLANK(INDIRECT(ADDRESS(K20*2+2,3))),"",INDIRECT(ADDRESS(K20*2+2,3)))</f>
        <v>Ерёмин Павел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Капран-Индаяти Сергей</v>
      </c>
      <c r="D21" s="80"/>
      <c r="E21" s="81"/>
      <c r="F21" s="41">
        <v>13</v>
      </c>
      <c r="G21" s="42">
        <v>9</v>
      </c>
      <c r="H21" s="82" t="str">
        <f ca="1">IF(ISBLANK(INDIRECT(ADDRESS(K21*2+2,3))),"",INDIRECT(ADDRESS(K21*2+2,3)))</f>
        <v>Лукин Сергей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Лукин Сергей</v>
      </c>
      <c r="D24" s="80"/>
      <c r="E24" s="81"/>
      <c r="F24" s="41">
        <v>2</v>
      </c>
      <c r="G24" s="42">
        <v>13</v>
      </c>
      <c r="H24" s="82" t="str">
        <f ca="1">IF(ISBLANK(INDIRECT(ADDRESS(K24*2+2,3))),"",INDIRECT(ADDRESS(K24*2+2,3)))</f>
        <v>Нечаев Максим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Ерёмин Павел</v>
      </c>
      <c r="D25" s="80"/>
      <c r="E25" s="81"/>
      <c r="F25" s="41">
        <v>13</v>
      </c>
      <c r="G25" s="42">
        <v>3</v>
      </c>
      <c r="H25" s="82" t="str">
        <f ca="1">IF(ISBLANK(INDIRECT(ADDRESS(K25*2+2,3))),"",INDIRECT(ADDRESS(K25*2+2,3)))</f>
        <v>Капран-Индаяти Сергей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B6:B7"/>
    <mergeCell ref="C6:E7"/>
    <mergeCell ref="J6:J7"/>
    <mergeCell ref="B1:L1"/>
    <mergeCell ref="L6:L7"/>
    <mergeCell ref="C3:E3"/>
    <mergeCell ref="B4:B5"/>
    <mergeCell ref="C4:E5"/>
    <mergeCell ref="J4:J5"/>
    <mergeCell ref="L4:L5"/>
    <mergeCell ref="B19:K19"/>
    <mergeCell ref="L8:L9"/>
    <mergeCell ref="B10:B11"/>
    <mergeCell ref="C10:E11"/>
    <mergeCell ref="J10:J11"/>
    <mergeCell ref="L10:L11"/>
    <mergeCell ref="B8:B9"/>
    <mergeCell ref="C8:E9"/>
    <mergeCell ref="J8:J9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6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42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46</v>
      </c>
      <c r="D4" s="104"/>
      <c r="E4" s="105"/>
      <c r="F4" s="9" t="s">
        <v>7</v>
      </c>
      <c r="G4" s="5" t="str">
        <f ca="1">INDIRECT(ADDRESS(21,6))&amp;":"&amp;INDIRECT(ADDRESS(21,7))</f>
        <v>13:6</v>
      </c>
      <c r="H4" s="5" t="str">
        <f ca="1">INDIRECT(ADDRESS(25,7))&amp;":"&amp;INDIRECT(ADDRESS(25,6))</f>
        <v>13:3</v>
      </c>
      <c r="I4" s="20" t="str">
        <f ca="1">INDIRECT(ADDRESS(16,6))&amp;":"&amp;INDIRECT(ADDRESS(16,7))</f>
        <v>12:9</v>
      </c>
      <c r="J4" s="122">
        <f ca="1">IF(COUNT(F5:I5)=0,"",COUNTIF(F5:I5,"&gt;0")+0.5*COUNTIF(F5:I5,0))</f>
        <v>3</v>
      </c>
      <c r="K4" s="23"/>
      <c r="L4" s="123">
        <v>1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7</v>
      </c>
      <c r="H5" s="16">
        <f ca="1">IF(LEN(INDIRECT(ADDRESS(ROW()-1, COLUMN())))=1,"",INDIRECT(ADDRESS(25,7))-INDIRECT(ADDRESS(25,6)))</f>
        <v>10</v>
      </c>
      <c r="I5" s="17">
        <f ca="1">IF(LEN(INDIRECT(ADDRESS(ROW()-1, COLUMN())))=1,"",INDIRECT(ADDRESS(16,6))-INDIRECT(ADDRESS(16,7)))</f>
        <v>3</v>
      </c>
      <c r="J5" s="117"/>
      <c r="K5" s="16">
        <f ca="1">IF(COUNT(F5:I5)=0,"",SUM(F5:I5))</f>
        <v>20</v>
      </c>
      <c r="L5" s="118"/>
    </row>
    <row r="6" spans="1:14" ht="24" customHeight="1">
      <c r="B6" s="89">
        <v>2</v>
      </c>
      <c r="C6" s="84" t="s">
        <v>49</v>
      </c>
      <c r="D6" s="85"/>
      <c r="E6" s="86"/>
      <c r="F6" s="11" t="str">
        <f ca="1">INDIRECT(ADDRESS(21,7))&amp;":"&amp;INDIRECT(ADDRESS(21,6))</f>
        <v>6:13</v>
      </c>
      <c r="G6" s="7" t="s">
        <v>7</v>
      </c>
      <c r="H6" s="6" t="str">
        <f ca="1">INDIRECT(ADDRESS(17,6))&amp;":"&amp;INDIRECT(ADDRESS(17,7))</f>
        <v>13:12</v>
      </c>
      <c r="I6" s="10" t="str">
        <f ca="1">INDIRECT(ADDRESS(24,6))&amp;":"&amp;INDIRECT(ADDRESS(24,7))</f>
        <v>13:12</v>
      </c>
      <c r="J6" s="117">
        <f ca="1">IF(COUNT(F7:I7)=0,"",COUNTIF(F7:I7,"&gt;0")+0.5*COUNTIF(F7:I7,0))</f>
        <v>2</v>
      </c>
      <c r="K6" s="16"/>
      <c r="L6" s="118">
        <v>2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-7</v>
      </c>
      <c r="G7" s="14" t="s">
        <v>7</v>
      </c>
      <c r="H7" s="16">
        <f ca="1">IF(LEN(INDIRECT(ADDRESS(ROW()-1, COLUMN())))=1,"",INDIRECT(ADDRESS(17,6))-INDIRECT(ADDRESS(17,7)))</f>
        <v>1</v>
      </c>
      <c r="I7" s="17">
        <f ca="1">IF(LEN(INDIRECT(ADDRESS(ROW()-1, COLUMN())))=1,"",INDIRECT(ADDRESS(24,6))-INDIRECT(ADDRESS(24,7)))</f>
        <v>1</v>
      </c>
      <c r="J7" s="117"/>
      <c r="K7" s="16">
        <f ca="1">IF(COUNT(F7:I7)=0,"",SUM(F7:I7))</f>
        <v>-5</v>
      </c>
      <c r="L7" s="118"/>
    </row>
    <row r="8" spans="1:14" ht="24" customHeight="1">
      <c r="B8" s="89">
        <v>3</v>
      </c>
      <c r="C8" s="84" t="s">
        <v>55</v>
      </c>
      <c r="D8" s="85"/>
      <c r="E8" s="86"/>
      <c r="F8" s="11" t="str">
        <f ca="1">INDIRECT(ADDRESS(25,6))&amp;":"&amp;INDIRECT(ADDRESS(25,7))</f>
        <v>3:13</v>
      </c>
      <c r="G8" s="6" t="str">
        <f ca="1">INDIRECT(ADDRESS(17,7))&amp;":"&amp;INDIRECT(ADDRESS(17,6))</f>
        <v>12:13</v>
      </c>
      <c r="H8" s="7" t="s">
        <v>7</v>
      </c>
      <c r="I8" s="10" t="str">
        <f ca="1">INDIRECT(ADDRESS(20,7))&amp;":"&amp;INDIRECT(ADDRESS(20,6))</f>
        <v>12:13</v>
      </c>
      <c r="J8" s="117">
        <f ca="1">IF(COUNT(F9:I9)=0,"",COUNTIF(F9:I9,"&gt;0")+0.5*COUNTIF(F9:I9,0))</f>
        <v>0</v>
      </c>
      <c r="K8" s="16"/>
      <c r="L8" s="118">
        <v>4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-10</v>
      </c>
      <c r="G9" s="16">
        <f ca="1">IF(LEN(INDIRECT(ADDRESS(ROW()-1, COLUMN())))=1,"",INDIRECT(ADDRESS(17,7))-INDIRECT(ADDRESS(17,6)))</f>
        <v>-1</v>
      </c>
      <c r="H9" s="14" t="s">
        <v>7</v>
      </c>
      <c r="I9" s="17">
        <f ca="1">IF(LEN(INDIRECT(ADDRESS(ROW()-1, COLUMN())))=1,"",INDIRECT(ADDRESS(20,7))-INDIRECT(ADDRESS(20,6)))</f>
        <v>-1</v>
      </c>
      <c r="J9" s="117"/>
      <c r="K9" s="16">
        <f ca="1">IF(COUNT(F9:I9)=0,"",SUM(F9:I9))</f>
        <v>-12</v>
      </c>
      <c r="L9" s="118"/>
    </row>
    <row r="10" spans="1:14" ht="24" customHeight="1">
      <c r="B10" s="89">
        <v>4</v>
      </c>
      <c r="C10" s="84" t="s">
        <v>61</v>
      </c>
      <c r="D10" s="85"/>
      <c r="E10" s="86"/>
      <c r="F10" s="11" t="str">
        <f ca="1">INDIRECT(ADDRESS(16,7))&amp;":"&amp;INDIRECT(ADDRESS(16,6))</f>
        <v>9:12</v>
      </c>
      <c r="G10" s="6" t="str">
        <f ca="1">INDIRECT(ADDRESS(24,7))&amp;":"&amp;INDIRECT(ADDRESS(24,6))</f>
        <v>12:13</v>
      </c>
      <c r="H10" s="6" t="str">
        <f ca="1">INDIRECT(ADDRESS(20,6))&amp;":"&amp;INDIRECT(ADDRESS(20,7))</f>
        <v>13:12</v>
      </c>
      <c r="I10" s="12" t="s">
        <v>7</v>
      </c>
      <c r="J10" s="117">
        <f ca="1">IF(COUNT(F11:I11)=0,"",COUNTIF(F11:I11,"&gt;0")+0.5*COUNTIF(F11:I11,0))</f>
        <v>1</v>
      </c>
      <c r="K10" s="16"/>
      <c r="L10" s="118">
        <v>3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-3</v>
      </c>
      <c r="G11" s="18">
        <f ca="1">IF(LEN(INDIRECT(ADDRESS(ROW()-1, COLUMN())))=1,"",INDIRECT(ADDRESS(24,7))-INDIRECT(ADDRESS(24,6)))</f>
        <v>-1</v>
      </c>
      <c r="H11" s="18">
        <f ca="1">IF(LEN(INDIRECT(ADDRESS(ROW()-1, COLUMN())))=1,"",INDIRECT(ADDRESS(20,6))-INDIRECT(ADDRESS(20,7)))</f>
        <v>1</v>
      </c>
      <c r="I11" s="15" t="s">
        <v>7</v>
      </c>
      <c r="J11" s="119"/>
      <c r="K11" s="18">
        <f ca="1">IF(COUNT(F11:I11)=0,"",SUM(F11:I11))</f>
        <v>-3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Борисенко Дмитрий</v>
      </c>
      <c r="D16" s="80"/>
      <c r="E16" s="81"/>
      <c r="F16" s="41">
        <v>12</v>
      </c>
      <c r="G16" s="42">
        <v>9</v>
      </c>
      <c r="H16" s="82" t="str">
        <f ca="1">IF(ISBLANK(INDIRECT(ADDRESS(K16*2+2,3))),"",INDIRECT(ADDRESS(K16*2+2,3)))</f>
        <v>Щербак Данила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Клименко Владимир</v>
      </c>
      <c r="D17" s="80"/>
      <c r="E17" s="81"/>
      <c r="F17" s="41">
        <v>13</v>
      </c>
      <c r="G17" s="42">
        <v>12</v>
      </c>
      <c r="H17" s="82" t="str">
        <f ca="1">IF(ISBLANK(INDIRECT(ADDRESS(K17*2+2,3))),"",INDIRECT(ADDRESS(K17*2+2,3)))</f>
        <v>Щербак Роман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Щербак Данила</v>
      </c>
      <c r="D20" s="80"/>
      <c r="E20" s="81"/>
      <c r="F20" s="41">
        <v>13</v>
      </c>
      <c r="G20" s="42">
        <v>12</v>
      </c>
      <c r="H20" s="82" t="str">
        <f ca="1">IF(ISBLANK(INDIRECT(ADDRESS(K20*2+2,3))),"",INDIRECT(ADDRESS(K20*2+2,3)))</f>
        <v>Щербак Роман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Борисенко Дмитрий</v>
      </c>
      <c r="D21" s="80"/>
      <c r="E21" s="81"/>
      <c r="F21" s="41">
        <v>13</v>
      </c>
      <c r="G21" s="42">
        <v>6</v>
      </c>
      <c r="H21" s="82" t="str">
        <f ca="1">IF(ISBLANK(INDIRECT(ADDRESS(K21*2+2,3))),"",INDIRECT(ADDRESS(K21*2+2,3)))</f>
        <v>Клименко Владимир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Клименко Владимир</v>
      </c>
      <c r="D24" s="80"/>
      <c r="E24" s="81"/>
      <c r="F24" s="41">
        <v>13</v>
      </c>
      <c r="G24" s="42">
        <v>12</v>
      </c>
      <c r="H24" s="82" t="str">
        <f ca="1">IF(ISBLANK(INDIRECT(ADDRESS(K24*2+2,3))),"",INDIRECT(ADDRESS(K24*2+2,3)))</f>
        <v>Щербак Данила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Щербак Роман</v>
      </c>
      <c r="D25" s="80"/>
      <c r="E25" s="81"/>
      <c r="F25" s="41">
        <v>3</v>
      </c>
      <c r="G25" s="42">
        <v>13</v>
      </c>
      <c r="H25" s="82" t="str">
        <f ca="1">IF(ISBLANK(INDIRECT(ADDRESS(K25*2+2,3))),"",INDIRECT(ADDRESS(K25*2+2,3)))</f>
        <v>Борисенко Дмитрий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B19:K19"/>
    <mergeCell ref="C16:E16"/>
    <mergeCell ref="H16:J16"/>
    <mergeCell ref="C17:E17"/>
    <mergeCell ref="H17:J17"/>
    <mergeCell ref="L8:L9"/>
    <mergeCell ref="B10:B11"/>
    <mergeCell ref="C10:E11"/>
    <mergeCell ref="J10:J11"/>
    <mergeCell ref="L10:L11"/>
    <mergeCell ref="B1:L1"/>
    <mergeCell ref="L6:L7"/>
    <mergeCell ref="C3:E3"/>
    <mergeCell ref="B4:B5"/>
    <mergeCell ref="C4:E5"/>
    <mergeCell ref="J4:J5"/>
    <mergeCell ref="L4:L5"/>
    <mergeCell ref="B15:K15"/>
    <mergeCell ref="B6:B7"/>
    <mergeCell ref="C6:E7"/>
    <mergeCell ref="J6:J7"/>
    <mergeCell ref="C8:E9"/>
    <mergeCell ref="J8:J9"/>
    <mergeCell ref="B8:B9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6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64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44</v>
      </c>
      <c r="D4" s="104"/>
      <c r="E4" s="105"/>
      <c r="F4" s="9" t="s">
        <v>7</v>
      </c>
      <c r="G4" s="5" t="str">
        <f ca="1">INDIRECT(ADDRESS(21,6))&amp;":"&amp;INDIRECT(ADDRESS(21,7))</f>
        <v>13:5</v>
      </c>
      <c r="H4" s="5" t="str">
        <f ca="1">INDIRECT(ADDRESS(25,7))&amp;":"&amp;INDIRECT(ADDRESS(25,6))</f>
        <v>13:1</v>
      </c>
      <c r="I4" s="20" t="str">
        <f ca="1">INDIRECT(ADDRESS(16,6))&amp;":"&amp;INDIRECT(ADDRESS(16,7))</f>
        <v>13:11</v>
      </c>
      <c r="J4" s="122">
        <f ca="1">IF(COUNT(F5:I5)=0,"",COUNTIF(F5:I5,"&gt;0")+0.5*COUNTIF(F5:I5,0))</f>
        <v>3</v>
      </c>
      <c r="K4" s="23"/>
      <c r="L4" s="123">
        <v>1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8</v>
      </c>
      <c r="H5" s="16">
        <f ca="1">IF(LEN(INDIRECT(ADDRESS(ROW()-1, COLUMN())))=1,"",INDIRECT(ADDRESS(25,7))-INDIRECT(ADDRESS(25,6)))</f>
        <v>12</v>
      </c>
      <c r="I5" s="17">
        <f ca="1">IF(LEN(INDIRECT(ADDRESS(ROW()-1, COLUMN())))=1,"",INDIRECT(ADDRESS(16,6))-INDIRECT(ADDRESS(16,7)))</f>
        <v>2</v>
      </c>
      <c r="J5" s="117"/>
      <c r="K5" s="16">
        <f ca="1">IF(COUNT(F5:I5)=0,"",SUM(F5:I5))</f>
        <v>22</v>
      </c>
      <c r="L5" s="118"/>
    </row>
    <row r="6" spans="1:14" ht="24" customHeight="1">
      <c r="B6" s="89">
        <v>2</v>
      </c>
      <c r="C6" s="84" t="s">
        <v>51</v>
      </c>
      <c r="D6" s="85"/>
      <c r="E6" s="86"/>
      <c r="F6" s="11" t="str">
        <f ca="1">INDIRECT(ADDRESS(21,7))&amp;":"&amp;INDIRECT(ADDRESS(21,6))</f>
        <v>5:13</v>
      </c>
      <c r="G6" s="7" t="s">
        <v>7</v>
      </c>
      <c r="H6" s="6" t="str">
        <f ca="1">INDIRECT(ADDRESS(17,6))&amp;":"&amp;INDIRECT(ADDRESS(17,7))</f>
        <v>13:2</v>
      </c>
      <c r="I6" s="10" t="str">
        <f ca="1">INDIRECT(ADDRESS(24,6))&amp;":"&amp;INDIRECT(ADDRESS(24,7))</f>
        <v>13:4</v>
      </c>
      <c r="J6" s="117">
        <f ca="1">IF(COUNT(F7:I7)=0,"",COUNTIF(F7:I7,"&gt;0")+0.5*COUNTIF(F7:I7,0))</f>
        <v>2</v>
      </c>
      <c r="K6" s="16"/>
      <c r="L6" s="118">
        <v>2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-8</v>
      </c>
      <c r="G7" s="14" t="s">
        <v>7</v>
      </c>
      <c r="H7" s="16">
        <f ca="1">IF(LEN(INDIRECT(ADDRESS(ROW()-1, COLUMN())))=1,"",INDIRECT(ADDRESS(17,6))-INDIRECT(ADDRESS(17,7)))</f>
        <v>11</v>
      </c>
      <c r="I7" s="17">
        <f ca="1">IF(LEN(INDIRECT(ADDRESS(ROW()-1, COLUMN())))=1,"",INDIRECT(ADDRESS(24,6))-INDIRECT(ADDRESS(24,7)))</f>
        <v>9</v>
      </c>
      <c r="J7" s="117"/>
      <c r="K7" s="16">
        <f ca="1">IF(COUNT(F7:I7)=0,"",SUM(F7:I7))</f>
        <v>12</v>
      </c>
      <c r="L7" s="118"/>
    </row>
    <row r="8" spans="1:14" ht="24" customHeight="1">
      <c r="B8" s="89">
        <v>3</v>
      </c>
      <c r="C8" s="84" t="s">
        <v>56</v>
      </c>
      <c r="D8" s="85"/>
      <c r="E8" s="86"/>
      <c r="F8" s="11" t="str">
        <f ca="1">INDIRECT(ADDRESS(25,6))&amp;":"&amp;INDIRECT(ADDRESS(25,7))</f>
        <v>1:13</v>
      </c>
      <c r="G8" s="6" t="str">
        <f ca="1">INDIRECT(ADDRESS(17,7))&amp;":"&amp;INDIRECT(ADDRESS(17,6))</f>
        <v>2:13</v>
      </c>
      <c r="H8" s="7" t="s">
        <v>7</v>
      </c>
      <c r="I8" s="10" t="str">
        <f ca="1">INDIRECT(ADDRESS(20,7))&amp;":"&amp;INDIRECT(ADDRESS(20,6))</f>
        <v>1:13</v>
      </c>
      <c r="J8" s="117">
        <f ca="1">IF(COUNT(F9:I9)=0,"",COUNTIF(F9:I9,"&gt;0")+0.5*COUNTIF(F9:I9,0))</f>
        <v>0</v>
      </c>
      <c r="K8" s="16"/>
      <c r="L8" s="118">
        <v>4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-12</v>
      </c>
      <c r="G9" s="16">
        <f ca="1">IF(LEN(INDIRECT(ADDRESS(ROW()-1, COLUMN())))=1,"",INDIRECT(ADDRESS(17,7))-INDIRECT(ADDRESS(17,6)))</f>
        <v>-11</v>
      </c>
      <c r="H9" s="14" t="s">
        <v>7</v>
      </c>
      <c r="I9" s="17">
        <f ca="1">IF(LEN(INDIRECT(ADDRESS(ROW()-1, COLUMN())))=1,"",INDIRECT(ADDRESS(20,7))-INDIRECT(ADDRESS(20,6)))</f>
        <v>-12</v>
      </c>
      <c r="J9" s="117"/>
      <c r="K9" s="16">
        <f ca="1">IF(COUNT(F9:I9)=0,"",SUM(F9:I9))</f>
        <v>-35</v>
      </c>
      <c r="L9" s="118"/>
    </row>
    <row r="10" spans="1:14" ht="24" customHeight="1">
      <c r="B10" s="89">
        <v>4</v>
      </c>
      <c r="C10" s="84" t="s">
        <v>58</v>
      </c>
      <c r="D10" s="85"/>
      <c r="E10" s="86"/>
      <c r="F10" s="11" t="str">
        <f ca="1">INDIRECT(ADDRESS(16,7))&amp;":"&amp;INDIRECT(ADDRESS(16,6))</f>
        <v>11:13</v>
      </c>
      <c r="G10" s="6" t="str">
        <f ca="1">INDIRECT(ADDRESS(24,7))&amp;":"&amp;INDIRECT(ADDRESS(24,6))</f>
        <v>4:13</v>
      </c>
      <c r="H10" s="6" t="str">
        <f ca="1">INDIRECT(ADDRESS(20,6))&amp;":"&amp;INDIRECT(ADDRESS(20,7))</f>
        <v>13:1</v>
      </c>
      <c r="I10" s="12" t="s">
        <v>7</v>
      </c>
      <c r="J10" s="117">
        <f ca="1">IF(COUNT(F11:I11)=0,"",COUNTIF(F11:I11,"&gt;0")+0.5*COUNTIF(F11:I11,0))</f>
        <v>1</v>
      </c>
      <c r="K10" s="16"/>
      <c r="L10" s="118">
        <v>3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-2</v>
      </c>
      <c r="G11" s="18">
        <f ca="1">IF(LEN(INDIRECT(ADDRESS(ROW()-1, COLUMN())))=1,"",INDIRECT(ADDRESS(24,7))-INDIRECT(ADDRESS(24,6)))</f>
        <v>-9</v>
      </c>
      <c r="H11" s="18">
        <f ca="1">IF(LEN(INDIRECT(ADDRESS(ROW()-1, COLUMN())))=1,"",INDIRECT(ADDRESS(20,6))-INDIRECT(ADDRESS(20,7)))</f>
        <v>12</v>
      </c>
      <c r="I11" s="15" t="s">
        <v>7</v>
      </c>
      <c r="J11" s="119"/>
      <c r="K11" s="18">
        <f ca="1">IF(COUNT(F11:I11)=0,"",SUM(F11:I11))</f>
        <v>1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Коржов Владимир</v>
      </c>
      <c r="D16" s="80"/>
      <c r="E16" s="81"/>
      <c r="F16" s="41">
        <v>13</v>
      </c>
      <c r="G16" s="42">
        <v>11</v>
      </c>
      <c r="H16" s="82" t="str">
        <f ca="1">IF(ISBLANK(INDIRECT(ADDRESS(K16*2+2,3))),"",INDIRECT(ADDRESS(K16*2+2,3)))</f>
        <v>Галеев Арсений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Корниенко Валерий</v>
      </c>
      <c r="D17" s="80"/>
      <c r="E17" s="81"/>
      <c r="F17" s="41">
        <v>13</v>
      </c>
      <c r="G17" s="42">
        <v>2</v>
      </c>
      <c r="H17" s="82" t="str">
        <f ca="1">IF(ISBLANK(INDIRECT(ADDRESS(K17*2+2,3))),"",INDIRECT(ADDRESS(K17*2+2,3)))</f>
        <v>Шевченко Богдан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Галеев Арсений</v>
      </c>
      <c r="D20" s="80"/>
      <c r="E20" s="81"/>
      <c r="F20" s="41">
        <v>13</v>
      </c>
      <c r="G20" s="42">
        <v>1</v>
      </c>
      <c r="H20" s="82" t="str">
        <f ca="1">IF(ISBLANK(INDIRECT(ADDRESS(K20*2+2,3))),"",INDIRECT(ADDRESS(K20*2+2,3)))</f>
        <v>Шевченко Богдан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Коржов Владимир</v>
      </c>
      <c r="D21" s="80"/>
      <c r="E21" s="81"/>
      <c r="F21" s="41">
        <v>13</v>
      </c>
      <c r="G21" s="42">
        <v>5</v>
      </c>
      <c r="H21" s="82" t="str">
        <f ca="1">IF(ISBLANK(INDIRECT(ADDRESS(K21*2+2,3))),"",INDIRECT(ADDRESS(K21*2+2,3)))</f>
        <v>Корниенко Валерий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Корниенко Валерий</v>
      </c>
      <c r="D24" s="80"/>
      <c r="E24" s="81"/>
      <c r="F24" s="41">
        <v>13</v>
      </c>
      <c r="G24" s="42">
        <v>4</v>
      </c>
      <c r="H24" s="82" t="str">
        <f ca="1">IF(ISBLANK(INDIRECT(ADDRESS(K24*2+2,3))),"",INDIRECT(ADDRESS(K24*2+2,3)))</f>
        <v>Галеев Арсений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Шевченко Богдан</v>
      </c>
      <c r="D25" s="80"/>
      <c r="E25" s="81"/>
      <c r="F25" s="41">
        <v>1</v>
      </c>
      <c r="G25" s="42">
        <v>13</v>
      </c>
      <c r="H25" s="82" t="str">
        <f ca="1">IF(ISBLANK(INDIRECT(ADDRESS(K25*2+2,3))),"",INDIRECT(ADDRESS(K25*2+2,3)))</f>
        <v>Коржов Владимир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B6:B7"/>
    <mergeCell ref="C6:E7"/>
    <mergeCell ref="J6:J7"/>
    <mergeCell ref="B1:L1"/>
    <mergeCell ref="L6:L7"/>
    <mergeCell ref="C3:E3"/>
    <mergeCell ref="B4:B5"/>
    <mergeCell ref="C4:E5"/>
    <mergeCell ref="J4:J5"/>
    <mergeCell ref="L4:L5"/>
    <mergeCell ref="B19:K19"/>
    <mergeCell ref="L8:L9"/>
    <mergeCell ref="B10:B11"/>
    <mergeCell ref="C10:E11"/>
    <mergeCell ref="J10:J11"/>
    <mergeCell ref="L10:L11"/>
    <mergeCell ref="B8:B9"/>
    <mergeCell ref="C8:E9"/>
    <mergeCell ref="J8:J9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10"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65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54</v>
      </c>
      <c r="C4" s="111"/>
      <c r="D4" s="25">
        <v>9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Капран-Индаяти Сергей</v>
      </c>
      <c r="G6" s="111"/>
      <c r="H6" s="25">
        <v>9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43</v>
      </c>
      <c r="C8" s="111"/>
      <c r="D8" s="25">
        <v>13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Ерёмин Павел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60</v>
      </c>
      <c r="C12" s="111"/>
      <c r="D12" s="25">
        <v>11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Ерёмин Павел</v>
      </c>
      <c r="G14" s="111"/>
      <c r="H14" s="25">
        <v>13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53</v>
      </c>
      <c r="C16" s="111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Курков Олег</v>
      </c>
      <c r="C20" s="111"/>
      <c r="D20" s="25">
        <v>12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Шубин Андрей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Шубин Андрей</v>
      </c>
      <c r="C24" s="111"/>
      <c r="D24" s="25">
        <v>13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J10:K10"/>
    <mergeCell ref="B4:C4"/>
    <mergeCell ref="F6:G6"/>
    <mergeCell ref="B8:C8"/>
    <mergeCell ref="B1:N1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66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45</v>
      </c>
      <c r="C4" s="111"/>
      <c r="D4" s="25">
        <v>6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Лукин Сергей</v>
      </c>
      <c r="G6" s="111"/>
      <c r="H6" s="25">
        <v>13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48</v>
      </c>
      <c r="C8" s="111"/>
      <c r="D8" s="25">
        <v>13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Лукин Сергей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50</v>
      </c>
      <c r="C12" s="111"/>
      <c r="D12" s="25">
        <v>4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Нечаев Максим</v>
      </c>
      <c r="G14" s="111"/>
      <c r="H14" s="25">
        <v>7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59</v>
      </c>
      <c r="C16" s="111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Матвеенко Борис</v>
      </c>
      <c r="C20" s="111"/>
      <c r="D20" s="25">
        <v>13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Матвеенко Борис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Дорошенко Анатолий</v>
      </c>
      <c r="C24" s="111"/>
      <c r="D24" s="25">
        <v>10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J10:K10"/>
    <mergeCell ref="B4:C4"/>
    <mergeCell ref="F6:G6"/>
    <mergeCell ref="B8:C8"/>
    <mergeCell ref="B1:N1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67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46</v>
      </c>
      <c r="C4" s="111"/>
      <c r="D4" s="25">
        <v>12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Борисенко Дмитрий</v>
      </c>
      <c r="G6" s="111"/>
      <c r="H6" s="25">
        <v>4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51</v>
      </c>
      <c r="C8" s="111"/>
      <c r="D8" s="25">
        <v>4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Коржов Владимир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49</v>
      </c>
      <c r="C12" s="111"/>
      <c r="D12" s="25">
        <v>5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Коржов Владимир</v>
      </c>
      <c r="G14" s="111"/>
      <c r="H14" s="25">
        <v>13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44</v>
      </c>
      <c r="C16" s="111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Корниенко Валерий</v>
      </c>
      <c r="C20" s="111"/>
      <c r="D20" s="25">
        <v>7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Клименко Владимир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Клименко Владимир</v>
      </c>
      <c r="C24" s="111"/>
      <c r="D24" s="25">
        <v>13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F6:G6"/>
    <mergeCell ref="B8:C8"/>
    <mergeCell ref="B1:N1"/>
    <mergeCell ref="J10:K10"/>
    <mergeCell ref="F22:G22"/>
    <mergeCell ref="B24:C24"/>
    <mergeCell ref="B20:C20"/>
    <mergeCell ref="F20:G20"/>
    <mergeCell ref="B16:C16"/>
    <mergeCell ref="B12:C12"/>
    <mergeCell ref="F14:G14"/>
    <mergeCell ref="B4:C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102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55</v>
      </c>
      <c r="C4" s="111"/>
      <c r="D4" s="25">
        <v>7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Галеев Арсений</v>
      </c>
      <c r="G6" s="111"/>
      <c r="H6" s="25">
        <v>13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58</v>
      </c>
      <c r="C8" s="111"/>
      <c r="D8" s="25">
        <v>13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Галеев Арсений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56</v>
      </c>
      <c r="C12" s="111"/>
      <c r="D12" s="25">
        <v>13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Шевченко Богдан</v>
      </c>
      <c r="G14" s="111"/>
      <c r="H14" s="25">
        <v>1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61</v>
      </c>
      <c r="C16" s="111"/>
      <c r="D16" s="25">
        <v>7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Щербак Роман</v>
      </c>
      <c r="C20" s="111"/>
      <c r="D20" s="25">
        <v>7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Щербак Данила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Щербак Данила</v>
      </c>
      <c r="C24" s="111"/>
      <c r="D24" s="25">
        <v>13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F22:G22"/>
    <mergeCell ref="B4:C4"/>
    <mergeCell ref="F6:G6"/>
    <mergeCell ref="B8:C8"/>
    <mergeCell ref="B1:N1"/>
    <mergeCell ref="B24:C24"/>
    <mergeCell ref="B20:C20"/>
    <mergeCell ref="F20:G20"/>
    <mergeCell ref="B16:C16"/>
    <mergeCell ref="J10:K10"/>
    <mergeCell ref="B12:C12"/>
    <mergeCell ref="F14:G1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N41"/>
  <sheetViews>
    <sheetView topLeftCell="A22" workbookViewId="0">
      <selection activeCell="B38" sqref="B38:H41"/>
    </sheetView>
  </sheetViews>
  <sheetFormatPr defaultRowHeight="15"/>
  <cols>
    <col min="1" max="1" width="4" style="27" customWidth="1"/>
    <col min="2" max="12" width="10.28515625" customWidth="1"/>
    <col min="13" max="13" width="10.28515625" style="36" customWidth="1"/>
    <col min="14" max="15" width="10.28515625" customWidth="1"/>
  </cols>
  <sheetData>
    <row r="1" spans="2:14" ht="36" customHeight="1">
      <c r="B1" s="121" t="s">
        <v>73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49"/>
    </row>
    <row r="2" spans="2:14" ht="15.75" thickBot="1">
      <c r="M2"/>
    </row>
    <row r="3" spans="2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1">
        <v>3</v>
      </c>
      <c r="I3" s="2">
        <v>4</v>
      </c>
      <c r="J3" s="2">
        <v>5</v>
      </c>
      <c r="K3" s="24" t="s">
        <v>1</v>
      </c>
      <c r="L3" s="1" t="s">
        <v>3</v>
      </c>
      <c r="M3" s="21" t="s">
        <v>2</v>
      </c>
    </row>
    <row r="4" spans="2:14" ht="24" customHeight="1">
      <c r="B4" s="102">
        <v>1</v>
      </c>
      <c r="C4" s="103" t="s">
        <v>68</v>
      </c>
      <c r="D4" s="104"/>
      <c r="E4" s="105"/>
      <c r="F4" s="9" t="s">
        <v>7</v>
      </c>
      <c r="G4" s="5" t="str">
        <f ca="1">INDIRECT(ADDRESS(23,6))&amp;":"&amp;INDIRECT(ADDRESS(23,7))</f>
        <v>7:6</v>
      </c>
      <c r="H4" s="5" t="str">
        <f ca="1">INDIRECT(ADDRESS(26,7))&amp;":"&amp;INDIRECT(ADDRESS(26,6))</f>
        <v>13:6</v>
      </c>
      <c r="I4" s="5" t="str">
        <f ca="1">INDIRECT(ADDRESS(30,6))&amp;":"&amp;INDIRECT(ADDRESS(30,7))</f>
        <v>13:6</v>
      </c>
      <c r="J4" s="20" t="str">
        <f ca="1">INDIRECT(ADDRESS(35,7))&amp;":"&amp;INDIRECT(ADDRESS(35,6))</f>
        <v>13:0</v>
      </c>
      <c r="K4" s="122">
        <f ca="1">IF(COUNT(F5:J5)=0,"",COUNTIF(F5:J5,"&gt;0")+0.5*COUNTIF(F5:J5,0))</f>
        <v>4</v>
      </c>
      <c r="L4" s="23"/>
      <c r="M4" s="123">
        <v>1</v>
      </c>
    </row>
    <row r="5" spans="2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COLUMN())))=1,"",INDIRECT(ADDRESS(23,6))-INDIRECT(ADDRESS(23,7)))</f>
        <v>1</v>
      </c>
      <c r="H5" s="16">
        <f ca="1">IF(LEN(INDIRECT(ADDRESS(ROW()-1, COLUMN())))=1,"",INDIRECT(ADDRESS(26,7))-INDIRECT(ADDRESS(26,6)))</f>
        <v>7</v>
      </c>
      <c r="I5" s="16">
        <f ca="1">IF(LEN(INDIRECT(ADDRESS(ROW()-1, COLUMN())))=1,"",INDIRECT(ADDRESS(30,6))-INDIRECT(ADDRESS(30,7)))</f>
        <v>7</v>
      </c>
      <c r="J5" s="17">
        <f ca="1">IF(LEN(INDIRECT(ADDRESS(ROW()-1, COLUMN())))=1,"",INDIRECT(ADDRESS(35,7))-INDIRECT(ADDRESS(35,6)))</f>
        <v>13</v>
      </c>
      <c r="K5" s="117"/>
      <c r="L5" s="16">
        <f ca="1">IF(COUNT(F5:J5)=0,"",SUM(F5:J5))</f>
        <v>28</v>
      </c>
      <c r="M5" s="118"/>
    </row>
    <row r="6" spans="2:14" ht="24" customHeight="1">
      <c r="B6" s="89">
        <v>2</v>
      </c>
      <c r="C6" s="84" t="s">
        <v>69</v>
      </c>
      <c r="D6" s="85"/>
      <c r="E6" s="86"/>
      <c r="F6" s="11" t="str">
        <f ca="1">INDIRECT(ADDRESS(23,7))&amp;":"&amp;INDIRECT(ADDRESS(23,6))</f>
        <v>6:7</v>
      </c>
      <c r="G6" s="7" t="s">
        <v>7</v>
      </c>
      <c r="H6" s="6" t="str">
        <f ca="1">INDIRECT(ADDRESS(31,6))&amp;":"&amp;INDIRECT(ADDRESS(31,7))</f>
        <v>13:1</v>
      </c>
      <c r="I6" s="6" t="str">
        <f ca="1">INDIRECT(ADDRESS(34,7))&amp;":"&amp;INDIRECT(ADDRESS(34,6))</f>
        <v>13:2</v>
      </c>
      <c r="J6" s="10" t="str">
        <f ca="1">INDIRECT(ADDRESS(18,6))&amp;":"&amp;INDIRECT(ADDRESS(18,7))</f>
        <v>9:5</v>
      </c>
      <c r="K6" s="117">
        <f ca="1">IF(COUNT(F7:J7)=0,"",COUNTIF(F7:J7,"&gt;0")+0.5*COUNTIF(F7:J7,0))</f>
        <v>3</v>
      </c>
      <c r="L6" s="16"/>
      <c r="M6" s="118">
        <v>2</v>
      </c>
    </row>
    <row r="7" spans="2:14" ht="24" customHeight="1">
      <c r="B7" s="97"/>
      <c r="C7" s="84"/>
      <c r="D7" s="85"/>
      <c r="E7" s="86"/>
      <c r="F7" s="22">
        <f ca="1">IF(LEN(INDIRECT(ADDRESS(ROW()-1, COLUMN())))=1,"",INDIRECT(ADDRESS(23,7))-INDIRECT(ADDRESS(23,6)))</f>
        <v>-1</v>
      </c>
      <c r="G7" s="14" t="s">
        <v>7</v>
      </c>
      <c r="H7" s="16">
        <f ca="1">IF(LEN(INDIRECT(ADDRESS(ROW()-1, COLUMN())))=1,"",INDIRECT(ADDRESS(31,6))-INDIRECT(ADDRESS(31,7)))</f>
        <v>12</v>
      </c>
      <c r="I7" s="16">
        <f ca="1">IF(LEN(INDIRECT(ADDRESS(ROW()-1, COLUMN())))=1,"",INDIRECT(ADDRESS(34,7))-INDIRECT(ADDRESS(34,6)))</f>
        <v>11</v>
      </c>
      <c r="J7" s="17">
        <f ca="1">IF(LEN(INDIRECT(ADDRESS(ROW()-1, COLUMN())))=1,"",INDIRECT(ADDRESS(18,6))-INDIRECT(ADDRESS(18,7)))</f>
        <v>4</v>
      </c>
      <c r="K7" s="117"/>
      <c r="L7" s="16">
        <f ca="1">IF(COUNT(F7:J7)=0,"",SUM(F7:J7))</f>
        <v>26</v>
      </c>
      <c r="M7" s="118"/>
    </row>
    <row r="8" spans="2:14" ht="24" customHeight="1">
      <c r="B8" s="89">
        <v>3</v>
      </c>
      <c r="C8" s="84" t="s">
        <v>70</v>
      </c>
      <c r="D8" s="85"/>
      <c r="E8" s="86"/>
      <c r="F8" s="11" t="str">
        <f ca="1">INDIRECT(ADDRESS(26,6))&amp;":"&amp;INDIRECT(ADDRESS(26,7))</f>
        <v>6:13</v>
      </c>
      <c r="G8" s="6" t="str">
        <f ca="1">INDIRECT(ADDRESS(31,7))&amp;":"&amp;INDIRECT(ADDRESS(31,6))</f>
        <v>1:13</v>
      </c>
      <c r="H8" s="7" t="s">
        <v>7</v>
      </c>
      <c r="I8" s="6" t="str">
        <f ca="1">INDIRECT(ADDRESS(19,6))&amp;":"&amp;INDIRECT(ADDRESS(19,7))</f>
        <v>13:0</v>
      </c>
      <c r="J8" s="10" t="str">
        <f ca="1">INDIRECT(ADDRESS(22,7))&amp;":"&amp;INDIRECT(ADDRESS(22,6))</f>
        <v>7:13</v>
      </c>
      <c r="K8" s="117">
        <f ca="1">IF(COUNT(F9:J9)=0,"",COUNTIF(F9:J9,"&gt;0")+0.5*COUNTIF(F9:J9,0))</f>
        <v>1</v>
      </c>
      <c r="L8" s="16"/>
      <c r="M8" s="118">
        <v>4</v>
      </c>
    </row>
    <row r="9" spans="2:14" ht="24" customHeight="1">
      <c r="B9" s="97"/>
      <c r="C9" s="84"/>
      <c r="D9" s="85"/>
      <c r="E9" s="86"/>
      <c r="F9" s="22">
        <f ca="1">IF(LEN(INDIRECT(ADDRESS(ROW()-1, COLUMN())))=1,"",INDIRECT(ADDRESS(26,6))-INDIRECT(ADDRESS(26,7)))</f>
        <v>-7</v>
      </c>
      <c r="G9" s="16">
        <f ca="1">IF(LEN(INDIRECT(ADDRESS(ROW()-1, COLUMN())))=1,"",INDIRECT(ADDRESS(31,7))-INDIRECT(ADDRESS(31,6)))</f>
        <v>-12</v>
      </c>
      <c r="H9" s="14" t="s">
        <v>7</v>
      </c>
      <c r="I9" s="16">
        <f ca="1">IF(LEN(INDIRECT(ADDRESS(ROW()-1, COLUMN())))=1,"",INDIRECT(ADDRESS(19,6))-INDIRECT(ADDRESS(19,7)))</f>
        <v>13</v>
      </c>
      <c r="J9" s="17">
        <f ca="1">IF(LEN(INDIRECT(ADDRESS(ROW()-1, COLUMN())))=1,"",INDIRECT(ADDRESS(22,7))-INDIRECT(ADDRESS(22,6)))</f>
        <v>-6</v>
      </c>
      <c r="K9" s="117"/>
      <c r="L9" s="16">
        <f ca="1">IF(COUNT(F9:J9)=0,"",SUM(F9:J9))</f>
        <v>-12</v>
      </c>
      <c r="M9" s="118"/>
    </row>
    <row r="10" spans="2:14" ht="24" customHeight="1">
      <c r="B10" s="89">
        <v>4</v>
      </c>
      <c r="C10" s="84" t="s">
        <v>71</v>
      </c>
      <c r="D10" s="85"/>
      <c r="E10" s="86"/>
      <c r="F10" s="11" t="str">
        <f ca="1">INDIRECT(ADDRESS(30,7))&amp;":"&amp;INDIRECT(ADDRESS(30,6))</f>
        <v>6:13</v>
      </c>
      <c r="G10" s="6" t="str">
        <f ca="1">INDIRECT(ADDRESS(34,6))&amp;":"&amp;INDIRECT(ADDRESS(34,7))</f>
        <v>2:13</v>
      </c>
      <c r="H10" s="6" t="str">
        <f ca="1">INDIRECT(ADDRESS(19,7))&amp;":"&amp;INDIRECT(ADDRESS(19,6))</f>
        <v>0:13</v>
      </c>
      <c r="I10" s="7" t="s">
        <v>7</v>
      </c>
      <c r="J10" s="10" t="str">
        <f ca="1">INDIRECT(ADDRESS(27,6))&amp;":"&amp;INDIRECT(ADDRESS(27,7))</f>
        <v>2:13</v>
      </c>
      <c r="K10" s="117">
        <f ca="1">IF(COUNT(F11:J11)=0,"",COUNTIF(F11:J11,"&gt;0")+0.5*COUNTIF(F11:J11,0))</f>
        <v>0</v>
      </c>
      <c r="L10" s="16"/>
      <c r="M10" s="118">
        <v>5</v>
      </c>
    </row>
    <row r="11" spans="2:14" ht="24" customHeight="1">
      <c r="B11" s="97"/>
      <c r="C11" s="84"/>
      <c r="D11" s="85"/>
      <c r="E11" s="86"/>
      <c r="F11" s="22">
        <f ca="1">IF(LEN(INDIRECT(ADDRESS(ROW()-1, COLUMN())))=1,"",INDIRECT(ADDRESS(30,7))-INDIRECT(ADDRESS(30,6)))</f>
        <v>-7</v>
      </c>
      <c r="G11" s="16">
        <f ca="1">IF(LEN(INDIRECT(ADDRESS(ROW()-1, COLUMN())))=1,"",INDIRECT(ADDRESS(34,6))-INDIRECT(ADDRESS(34,7)))</f>
        <v>-11</v>
      </c>
      <c r="H11" s="16">
        <f ca="1">IF(LEN(INDIRECT(ADDRESS(ROW()-1, COLUMN())))=1,"",INDIRECT(ADDRESS(19,7))-INDIRECT(ADDRESS(19,6)))</f>
        <v>-13</v>
      </c>
      <c r="I11" s="14" t="s">
        <v>7</v>
      </c>
      <c r="J11" s="17">
        <f ca="1">IF(LEN(INDIRECT(ADDRESS(ROW()-1, COLUMN())))=1,"",INDIRECT(ADDRESS(27,6))-INDIRECT(ADDRESS(27,7)))</f>
        <v>-11</v>
      </c>
      <c r="K11" s="117"/>
      <c r="L11" s="16">
        <f ca="1">IF(COUNT(F11:J11)=0,"",SUM(F11:J11))</f>
        <v>-42</v>
      </c>
      <c r="M11" s="118"/>
    </row>
    <row r="12" spans="2:14" ht="24" customHeight="1">
      <c r="B12" s="89">
        <v>5</v>
      </c>
      <c r="C12" s="84" t="s">
        <v>72</v>
      </c>
      <c r="D12" s="85"/>
      <c r="E12" s="86"/>
      <c r="F12" s="11" t="str">
        <f ca="1">INDIRECT(ADDRESS(35,6))&amp;":"&amp;INDIRECT(ADDRESS(35,7))</f>
        <v>0:13</v>
      </c>
      <c r="G12" s="6" t="str">
        <f ca="1">INDIRECT(ADDRESS(18,7))&amp;":"&amp;INDIRECT(ADDRESS(18,6))</f>
        <v>5:9</v>
      </c>
      <c r="H12" s="6" t="str">
        <f ca="1">INDIRECT(ADDRESS(22,6))&amp;":"&amp;INDIRECT(ADDRESS(22,7))</f>
        <v>13:7</v>
      </c>
      <c r="I12" s="6" t="str">
        <f ca="1">INDIRECT(ADDRESS(27,7))&amp;":"&amp;INDIRECT(ADDRESS(27,6))</f>
        <v>13:2</v>
      </c>
      <c r="J12" s="12" t="s">
        <v>7</v>
      </c>
      <c r="K12" s="117">
        <f ca="1">IF(COUNT(F13:J13)=0,"",COUNTIF(F13:J13,"&gt;0")+0.5*COUNTIF(F13:J13,0))</f>
        <v>2</v>
      </c>
      <c r="L12" s="16"/>
      <c r="M12" s="118">
        <v>3</v>
      </c>
    </row>
    <row r="13" spans="2:14" ht="24" customHeight="1" thickBot="1">
      <c r="B13" s="90"/>
      <c r="C13" s="91"/>
      <c r="D13" s="92"/>
      <c r="E13" s="93"/>
      <c r="F13" s="19">
        <f ca="1">IF(LEN(INDIRECT(ADDRESS(ROW()-1, COLUMN())))=1,"",INDIRECT(ADDRESS(35,6))-INDIRECT(ADDRESS(35,7)))</f>
        <v>-13</v>
      </c>
      <c r="G13" s="18">
        <f ca="1">IF(LEN(INDIRECT(ADDRESS(ROW()-1, COLUMN())))=1,"",INDIRECT(ADDRESS(18,7))-INDIRECT(ADDRESS(18,6)))</f>
        <v>-4</v>
      </c>
      <c r="H13" s="18">
        <f ca="1">IF(LEN(INDIRECT(ADDRESS(ROW()-1, COLUMN())))=1,"",INDIRECT(ADDRESS(22,6))-INDIRECT(ADDRESS(22,7)))</f>
        <v>6</v>
      </c>
      <c r="I13" s="18">
        <f ca="1">IF(LEN(INDIRECT(ADDRESS(ROW()-1, COLUMN())))=1,"",INDIRECT(ADDRESS(27,7))-INDIRECT(ADDRESS(27,6)))</f>
        <v>11</v>
      </c>
      <c r="J13" s="15" t="s">
        <v>7</v>
      </c>
      <c r="K13" s="119"/>
      <c r="L13" s="18">
        <f ca="1">IF(COUNT(F13:J13)=0,"",SUM(F13:J13))</f>
        <v>0</v>
      </c>
      <c r="M13" s="120"/>
    </row>
    <row r="14" spans="2:14">
      <c r="M14"/>
    </row>
    <row r="15" spans="2:14">
      <c r="M15"/>
    </row>
    <row r="16" spans="2:14">
      <c r="M16"/>
    </row>
    <row r="17" spans="1:13" s="40" customFormat="1" ht="30" customHeight="1" thickBot="1">
      <c r="A17" s="39"/>
      <c r="B17" s="83" t="s">
        <v>4</v>
      </c>
      <c r="C17" s="83"/>
      <c r="D17" s="83"/>
      <c r="E17" s="83"/>
      <c r="F17" s="83"/>
      <c r="G17" s="83"/>
      <c r="H17" s="83"/>
      <c r="I17" s="83"/>
      <c r="J17" s="83"/>
      <c r="K17" s="83"/>
      <c r="M17" s="47"/>
    </row>
    <row r="18" spans="1:13" s="40" customFormat="1" ht="30" customHeight="1" thickBot="1">
      <c r="A18" s="39"/>
      <c r="B18" s="45">
        <v>2</v>
      </c>
      <c r="C18" s="80" t="str">
        <f ca="1">IF(ISBLANK(INDIRECT(ADDRESS(B18*2+2,3))),"",INDIRECT(ADDRESS(B18*2+2,3)))</f>
        <v>Галеев, Борисенко</v>
      </c>
      <c r="D18" s="80"/>
      <c r="E18" s="81"/>
      <c r="F18" s="41">
        <v>9</v>
      </c>
      <c r="G18" s="42">
        <v>5</v>
      </c>
      <c r="H18" s="82" t="str">
        <f ca="1">IF(ISBLANK(INDIRECT(ADDRESS(K18*2+2,3))),"",INDIRECT(ADDRESS(K18*2+2,3)))</f>
        <v>Шевченко, Щербак Д.</v>
      </c>
      <c r="I18" s="80"/>
      <c r="J18" s="80"/>
      <c r="K18" s="45">
        <v>5</v>
      </c>
      <c r="L18" s="43" t="s">
        <v>11</v>
      </c>
      <c r="M18" s="38"/>
    </row>
    <row r="19" spans="1:13" s="40" customFormat="1" ht="30" customHeight="1" thickBot="1">
      <c r="A19" s="39"/>
      <c r="B19" s="45">
        <v>3</v>
      </c>
      <c r="C19" s="80" t="str">
        <f ca="1">IF(ISBLANK(INDIRECT(ADDRESS(B19*2+2,3))),"",INDIRECT(ADDRESS(B19*2+2,3)))</f>
        <v>Клименко, Корниенко</v>
      </c>
      <c r="D19" s="80"/>
      <c r="E19" s="81"/>
      <c r="F19" s="41">
        <v>13</v>
      </c>
      <c r="G19" s="42">
        <v>0</v>
      </c>
      <c r="H19" s="82" t="str">
        <f ca="1">IF(ISBLANK(INDIRECT(ADDRESS(K19*2+2,3))),"",INDIRECT(ADDRESS(K19*2+2,3)))</f>
        <v>Дорошенко, Щербак И.</v>
      </c>
      <c r="I19" s="80"/>
      <c r="J19" s="80"/>
      <c r="K19" s="45">
        <v>4</v>
      </c>
      <c r="L19" s="43" t="s">
        <v>11</v>
      </c>
      <c r="M19" s="38"/>
    </row>
    <row r="20" spans="1:13" s="40" customFormat="1" ht="30" customHeight="1">
      <c r="A20" s="39"/>
      <c r="M20" s="46"/>
    </row>
    <row r="21" spans="1:13" s="40" customFormat="1" ht="30" customHeight="1" thickBot="1">
      <c r="A21" s="39"/>
      <c r="B21" s="83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M21" s="46"/>
    </row>
    <row r="22" spans="1:13" s="40" customFormat="1" ht="30" customHeight="1" thickBot="1">
      <c r="A22" s="39"/>
      <c r="B22" s="45">
        <v>5</v>
      </c>
      <c r="C22" s="80" t="str">
        <f ca="1">IF(ISBLANK(INDIRECT(ADDRESS(B22*2+2,3))),"",INDIRECT(ADDRESS(B22*2+2,3)))</f>
        <v>Шевченко, Щербак Д.</v>
      </c>
      <c r="D22" s="80"/>
      <c r="E22" s="81"/>
      <c r="F22" s="41">
        <v>13</v>
      </c>
      <c r="G22" s="42">
        <v>7</v>
      </c>
      <c r="H22" s="82" t="str">
        <f ca="1">IF(ISBLANK(INDIRECT(ADDRESS(K22*2+2,3))),"",INDIRECT(ADDRESS(K22*2+2,3)))</f>
        <v>Клименко, Корниенко</v>
      </c>
      <c r="I22" s="80"/>
      <c r="J22" s="80"/>
      <c r="K22" s="45">
        <v>3</v>
      </c>
      <c r="L22" s="43" t="s">
        <v>11</v>
      </c>
      <c r="M22" s="38"/>
    </row>
    <row r="23" spans="1:13" s="40" customFormat="1" ht="30" customHeight="1" thickBot="1">
      <c r="A23" s="39"/>
      <c r="B23" s="45">
        <v>1</v>
      </c>
      <c r="C23" s="80" t="str">
        <f ca="1">IF(ISBLANK(INDIRECT(ADDRESS(B23*2+2,3))),"",INDIRECT(ADDRESS(B23*2+2,3)))</f>
        <v>Лукин, Коржов</v>
      </c>
      <c r="D23" s="80"/>
      <c r="E23" s="81"/>
      <c r="F23" s="41">
        <v>7</v>
      </c>
      <c r="G23" s="42">
        <v>6</v>
      </c>
      <c r="H23" s="82" t="str">
        <f ca="1">IF(ISBLANK(INDIRECT(ADDRESS(K23*2+2,3))),"",INDIRECT(ADDRESS(K23*2+2,3)))</f>
        <v>Галеев, Борисенко</v>
      </c>
      <c r="I23" s="80"/>
      <c r="J23" s="80"/>
      <c r="K23" s="45">
        <v>2</v>
      </c>
      <c r="L23" s="43" t="s">
        <v>11</v>
      </c>
      <c r="M23" s="38"/>
    </row>
    <row r="24" spans="1:13" s="40" customFormat="1" ht="30" customHeight="1">
      <c r="A24" s="39"/>
      <c r="M24" s="46"/>
    </row>
    <row r="25" spans="1:13" s="40" customFormat="1" ht="30" customHeight="1" thickBot="1">
      <c r="A25" s="39"/>
      <c r="B25" s="83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M25" s="46"/>
    </row>
    <row r="26" spans="1:13" s="40" customFormat="1" ht="30" customHeight="1" thickBot="1">
      <c r="A26" s="39"/>
      <c r="B26" s="45">
        <v>3</v>
      </c>
      <c r="C26" s="80" t="str">
        <f ca="1">IF(ISBLANK(INDIRECT(ADDRESS(B26*2+2,3))),"",INDIRECT(ADDRESS(B26*2+2,3)))</f>
        <v>Клименко, Корниенко</v>
      </c>
      <c r="D26" s="80"/>
      <c r="E26" s="81"/>
      <c r="F26" s="41">
        <v>6</v>
      </c>
      <c r="G26" s="42">
        <v>13</v>
      </c>
      <c r="H26" s="82" t="str">
        <f ca="1">IF(ISBLANK(INDIRECT(ADDRESS(K26*2+2,3))),"",INDIRECT(ADDRESS(K26*2+2,3)))</f>
        <v>Лукин, Коржов</v>
      </c>
      <c r="I26" s="80"/>
      <c r="J26" s="80"/>
      <c r="K26" s="45">
        <v>1</v>
      </c>
      <c r="L26" s="43" t="s">
        <v>11</v>
      </c>
      <c r="M26" s="38"/>
    </row>
    <row r="27" spans="1:13" s="40" customFormat="1" ht="30" customHeight="1" thickBot="1">
      <c r="A27" s="39"/>
      <c r="B27" s="45">
        <v>4</v>
      </c>
      <c r="C27" s="80" t="str">
        <f ca="1">IF(ISBLANK(INDIRECT(ADDRESS(B27*2+2,3))),"",INDIRECT(ADDRESS(B27*2+2,3)))</f>
        <v>Дорошенко, Щербак И.</v>
      </c>
      <c r="D27" s="80"/>
      <c r="E27" s="81"/>
      <c r="F27" s="41">
        <v>2</v>
      </c>
      <c r="G27" s="42">
        <v>13</v>
      </c>
      <c r="H27" s="82" t="str">
        <f ca="1">IF(ISBLANK(INDIRECT(ADDRESS(K27*2+2,3))),"",INDIRECT(ADDRESS(K27*2+2,3)))</f>
        <v>Шевченко, Щербак Д.</v>
      </c>
      <c r="I27" s="80"/>
      <c r="J27" s="80"/>
      <c r="K27" s="45">
        <v>5</v>
      </c>
      <c r="L27" s="43" t="s">
        <v>11</v>
      </c>
      <c r="M27" s="38"/>
    </row>
    <row r="28" spans="1:13" s="40" customFormat="1" ht="30" customHeight="1">
      <c r="A28" s="39"/>
      <c r="M28" s="46"/>
    </row>
    <row r="29" spans="1:13" s="40" customFormat="1" ht="30" customHeight="1" thickBot="1">
      <c r="A29" s="39"/>
      <c r="B29" s="83" t="s">
        <v>8</v>
      </c>
      <c r="C29" s="83"/>
      <c r="D29" s="83"/>
      <c r="E29" s="83"/>
      <c r="F29" s="83"/>
      <c r="G29" s="83"/>
      <c r="H29" s="83"/>
      <c r="I29" s="83"/>
      <c r="J29" s="83"/>
      <c r="K29" s="83"/>
      <c r="M29" s="46"/>
    </row>
    <row r="30" spans="1:13" s="40" customFormat="1" ht="30" customHeight="1" thickBot="1">
      <c r="A30" s="39"/>
      <c r="B30" s="45">
        <v>1</v>
      </c>
      <c r="C30" s="80" t="str">
        <f ca="1">IF(ISBLANK(INDIRECT(ADDRESS(B30*2+2,3))),"",INDIRECT(ADDRESS(B30*2+2,3)))</f>
        <v>Лукин, Коржов</v>
      </c>
      <c r="D30" s="80"/>
      <c r="E30" s="81"/>
      <c r="F30" s="41">
        <v>13</v>
      </c>
      <c r="G30" s="42">
        <v>6</v>
      </c>
      <c r="H30" s="82" t="str">
        <f ca="1">IF(ISBLANK(INDIRECT(ADDRESS(K30*2+2,3))),"",INDIRECT(ADDRESS(K30*2+2,3)))</f>
        <v>Дорошенко, Щербак И.</v>
      </c>
      <c r="I30" s="80"/>
      <c r="J30" s="80"/>
      <c r="K30" s="45">
        <v>4</v>
      </c>
      <c r="L30" s="43" t="s">
        <v>11</v>
      </c>
      <c r="M30" s="38"/>
    </row>
    <row r="31" spans="1:13" s="40" customFormat="1" ht="30" customHeight="1" thickBot="1">
      <c r="A31" s="39"/>
      <c r="B31" s="45">
        <v>2</v>
      </c>
      <c r="C31" s="80" t="str">
        <f ca="1">IF(ISBLANK(INDIRECT(ADDRESS(B31*2+2,3))),"",INDIRECT(ADDRESS(B31*2+2,3)))</f>
        <v>Галеев, Борисенко</v>
      </c>
      <c r="D31" s="80"/>
      <c r="E31" s="81"/>
      <c r="F31" s="41">
        <v>13</v>
      </c>
      <c r="G31" s="42">
        <v>1</v>
      </c>
      <c r="H31" s="82" t="str">
        <f ca="1">IF(ISBLANK(INDIRECT(ADDRESS(K31*2+2,3))),"",INDIRECT(ADDRESS(K31*2+2,3)))</f>
        <v>Клименко, Корниенко</v>
      </c>
      <c r="I31" s="80"/>
      <c r="J31" s="80"/>
      <c r="K31" s="45">
        <v>3</v>
      </c>
      <c r="L31" s="43" t="s">
        <v>11</v>
      </c>
      <c r="M31" s="38"/>
    </row>
    <row r="32" spans="1:13" s="40" customFormat="1" ht="30" customHeight="1">
      <c r="A32" s="39"/>
      <c r="M32" s="46"/>
    </row>
    <row r="33" spans="1:13" s="40" customFormat="1" ht="30" customHeight="1" thickBot="1">
      <c r="A33" s="39"/>
      <c r="B33" s="83" t="s">
        <v>9</v>
      </c>
      <c r="C33" s="83"/>
      <c r="D33" s="83"/>
      <c r="E33" s="83"/>
      <c r="F33" s="83"/>
      <c r="G33" s="83"/>
      <c r="H33" s="83"/>
      <c r="I33" s="83"/>
      <c r="J33" s="83"/>
      <c r="K33" s="83"/>
      <c r="M33" s="46"/>
    </row>
    <row r="34" spans="1:13" s="40" customFormat="1" ht="30" customHeight="1" thickBot="1">
      <c r="A34" s="39"/>
      <c r="B34" s="45">
        <v>4</v>
      </c>
      <c r="C34" s="80" t="str">
        <f ca="1">IF(ISBLANK(INDIRECT(ADDRESS(B34*2+2,3))),"",INDIRECT(ADDRESS(B34*2+2,3)))</f>
        <v>Дорошенко, Щербак И.</v>
      </c>
      <c r="D34" s="80"/>
      <c r="E34" s="81"/>
      <c r="F34" s="41">
        <v>2</v>
      </c>
      <c r="G34" s="42">
        <v>13</v>
      </c>
      <c r="H34" s="82" t="str">
        <f ca="1">IF(ISBLANK(INDIRECT(ADDRESS(K34*2+2,3))),"",INDIRECT(ADDRESS(K34*2+2,3)))</f>
        <v>Галеев, Борисенко</v>
      </c>
      <c r="I34" s="80"/>
      <c r="J34" s="80"/>
      <c r="K34" s="45">
        <v>2</v>
      </c>
      <c r="L34" s="43" t="s">
        <v>11</v>
      </c>
      <c r="M34" s="38"/>
    </row>
    <row r="35" spans="1:13" s="40" customFormat="1" ht="30" customHeight="1" thickBot="1">
      <c r="A35" s="39"/>
      <c r="B35" s="45">
        <v>5</v>
      </c>
      <c r="C35" s="80" t="str">
        <f ca="1">IF(ISBLANK(INDIRECT(ADDRESS(B35*2+2,3))),"",INDIRECT(ADDRESS(B35*2+2,3)))</f>
        <v>Шевченко, Щербак Д.</v>
      </c>
      <c r="D35" s="80"/>
      <c r="E35" s="81"/>
      <c r="F35" s="41">
        <v>0</v>
      </c>
      <c r="G35" s="42">
        <v>13</v>
      </c>
      <c r="H35" s="82" t="str">
        <f ca="1">IF(ISBLANK(INDIRECT(ADDRESS(K35*2+2,3))),"",INDIRECT(ADDRESS(K35*2+2,3)))</f>
        <v>Лукин, Коржов</v>
      </c>
      <c r="I35" s="80"/>
      <c r="J35" s="80"/>
      <c r="K35" s="45">
        <v>1</v>
      </c>
      <c r="L35" s="43" t="s">
        <v>11</v>
      </c>
      <c r="M35" s="38"/>
    </row>
    <row r="38" spans="1:13" ht="21">
      <c r="B38" s="59" t="s">
        <v>103</v>
      </c>
      <c r="C38" s="59"/>
      <c r="D38" s="59"/>
      <c r="E38" s="59"/>
      <c r="F38" s="59"/>
      <c r="G38" s="59"/>
      <c r="H38" s="40"/>
    </row>
    <row r="39" spans="1:13" ht="21">
      <c r="B39" s="59"/>
      <c r="C39" s="59"/>
      <c r="D39" s="59"/>
      <c r="E39" s="59"/>
      <c r="F39" s="59"/>
      <c r="G39" s="59"/>
      <c r="H39" s="40"/>
    </row>
    <row r="40" spans="1:13" ht="21">
      <c r="B40" s="59"/>
      <c r="C40" s="59"/>
      <c r="D40" s="59"/>
      <c r="E40" s="59"/>
      <c r="F40" s="59"/>
      <c r="G40" s="59"/>
      <c r="H40" s="40"/>
    </row>
    <row r="41" spans="1:13" ht="21">
      <c r="B41" s="59" t="s">
        <v>104</v>
      </c>
      <c r="C41" s="59"/>
      <c r="D41" s="59"/>
      <c r="E41" s="59"/>
      <c r="F41" s="59"/>
      <c r="G41" s="59"/>
      <c r="H41" s="40"/>
    </row>
  </sheetData>
  <sheetCalcPr fullCalcOnLoad="1"/>
  <mergeCells count="47">
    <mergeCell ref="K12:K13"/>
    <mergeCell ref="H31:J31"/>
    <mergeCell ref="B33:K33"/>
    <mergeCell ref="C34:E34"/>
    <mergeCell ref="H34:J34"/>
    <mergeCell ref="M12:M13"/>
    <mergeCell ref="B17:K17"/>
    <mergeCell ref="H18:J18"/>
    <mergeCell ref="C18:E18"/>
    <mergeCell ref="B12:B13"/>
    <mergeCell ref="C12:E13"/>
    <mergeCell ref="H22:J22"/>
    <mergeCell ref="C23:E23"/>
    <mergeCell ref="H23:J23"/>
    <mergeCell ref="B25:K25"/>
    <mergeCell ref="C26:E26"/>
    <mergeCell ref="C35:E35"/>
    <mergeCell ref="H35:J35"/>
    <mergeCell ref="C30:E30"/>
    <mergeCell ref="H30:J30"/>
    <mergeCell ref="C31:E31"/>
    <mergeCell ref="H26:J26"/>
    <mergeCell ref="C27:E27"/>
    <mergeCell ref="H27:J27"/>
    <mergeCell ref="B10:B11"/>
    <mergeCell ref="C10:E11"/>
    <mergeCell ref="B29:K29"/>
    <mergeCell ref="C19:E19"/>
    <mergeCell ref="H19:J19"/>
    <mergeCell ref="B21:K21"/>
    <mergeCell ref="C22:E22"/>
    <mergeCell ref="K10:K11"/>
    <mergeCell ref="M10:M11"/>
    <mergeCell ref="B1:M1"/>
    <mergeCell ref="C3:E3"/>
    <mergeCell ref="B4:B5"/>
    <mergeCell ref="C4:E5"/>
    <mergeCell ref="K4:K5"/>
    <mergeCell ref="M4:M5"/>
    <mergeCell ref="M6:M7"/>
    <mergeCell ref="B8:B9"/>
    <mergeCell ref="C8:E9"/>
    <mergeCell ref="K8:K9"/>
    <mergeCell ref="M8:M9"/>
    <mergeCell ref="B6:B7"/>
    <mergeCell ref="C6:E7"/>
    <mergeCell ref="K6:K7"/>
  </mergeCells>
  <phoneticPr fontId="10" type="noConversion"/>
  <printOptions horizontalCentered="1"/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opLeftCell="A40" workbookViewId="0">
      <selection activeCell="B45" sqref="B45:H48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2:14" ht="38.25" customHeight="1">
      <c r="B1" s="98" t="s">
        <v>13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2:14" ht="15.75" thickBot="1">
      <c r="M2"/>
    </row>
    <row r="3" spans="2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102">
        <v>1</v>
      </c>
      <c r="C4" s="103" t="s">
        <v>26</v>
      </c>
      <c r="D4" s="104"/>
      <c r="E4" s="105"/>
      <c r="F4" s="9" t="s">
        <v>7</v>
      </c>
      <c r="G4" s="5" t="str">
        <f ca="1">INDIRECT(ADDRESS(27,6))&amp;":"&amp;INDIRECT(ADDRESS(27,7))</f>
        <v>7:13</v>
      </c>
      <c r="H4" s="5" t="str">
        <f ca="1">INDIRECT(ADDRESS(31,7))&amp;":"&amp;INDIRECT(ADDRESS(31,6))</f>
        <v>1:13</v>
      </c>
      <c r="I4" s="5" t="str">
        <f ca="1">INDIRECT(ADDRESS(36,6))&amp;":"&amp;INDIRECT(ADDRESS(36,7))</f>
        <v>13:5</v>
      </c>
      <c r="J4" s="5" t="str">
        <f ca="1">INDIRECT(ADDRESS(42,7))&amp;":"&amp;INDIRECT(ADDRESS(42,6))</f>
        <v>9:13</v>
      </c>
      <c r="K4" s="20" t="str">
        <f ca="1">INDIRECT(ADDRESS(20,6))&amp;":"&amp;INDIRECT(ADDRESS(20,7))</f>
        <v>13:6</v>
      </c>
      <c r="L4" s="106">
        <f ca="1">IF(COUNT(F5:K5)=0,"",COUNTIF(F5:K5,"&gt;0")+0.5*COUNTIF(F5:K5,0))</f>
        <v>2</v>
      </c>
      <c r="M4" s="23"/>
      <c r="N4" s="107">
        <v>5</v>
      </c>
    </row>
    <row r="5" spans="2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COLUMN())))=1,"",INDIRECT(ADDRESS(27,6))-INDIRECT(ADDRESS(27,7)))</f>
        <v>-6</v>
      </c>
      <c r="H5" s="16">
        <f ca="1">IF(LEN(INDIRECT(ADDRESS(ROW()-1, COLUMN())))=1,"",INDIRECT(ADDRESS(31,7))-INDIRECT(ADDRESS(31,6)))</f>
        <v>-12</v>
      </c>
      <c r="I5" s="16">
        <f ca="1">IF(LEN(INDIRECT(ADDRESS(ROW()-1, COLUMN())))=1,"",INDIRECT(ADDRESS(36,6))-INDIRECT(ADDRESS(36,7)))</f>
        <v>8</v>
      </c>
      <c r="J5" s="16">
        <f ca="1">IF(LEN(INDIRECT(ADDRESS(ROW()-1, COLUMN())))=1,"",INDIRECT(ADDRESS(42,7))-INDIRECT(ADDRESS(42,6)))</f>
        <v>-4</v>
      </c>
      <c r="K5" s="17">
        <f ca="1">IF(LEN(INDIRECT(ADDRESS(ROW()-1, COLUMN())))=1,"",INDIRECT(ADDRESS(20,6))-INDIRECT(ADDRESS(20,7)))</f>
        <v>7</v>
      </c>
      <c r="L5" s="94"/>
      <c r="M5" s="16">
        <f ca="1">IF(COUNT(F5:K5)=0,"",SUM(F5:K5))</f>
        <v>-7</v>
      </c>
      <c r="N5" s="88"/>
    </row>
    <row r="6" spans="2:14" ht="24" customHeight="1">
      <c r="B6" s="89">
        <v>2</v>
      </c>
      <c r="C6" s="84" t="s">
        <v>27</v>
      </c>
      <c r="D6" s="85"/>
      <c r="E6" s="86"/>
      <c r="F6" s="11" t="str">
        <f ca="1">INDIRECT(ADDRESS(27,7))&amp;":"&amp;INDIRECT(ADDRESS(27,6))</f>
        <v>13:7</v>
      </c>
      <c r="G6" s="7" t="s">
        <v>7</v>
      </c>
      <c r="H6" s="6" t="str">
        <f ca="1">INDIRECT(ADDRESS(37,6))&amp;":"&amp;INDIRECT(ADDRESS(37,7))</f>
        <v>4:13</v>
      </c>
      <c r="I6" s="6" t="str">
        <f ca="1">INDIRECT(ADDRESS(41,7))&amp;":"&amp;INDIRECT(ADDRESS(41,6))</f>
        <v>5:13</v>
      </c>
      <c r="J6" s="6" t="str">
        <f ca="1">INDIRECT(ADDRESS(21,6))&amp;":"&amp;INDIRECT(ADDRESS(21,7))</f>
        <v>13:6</v>
      </c>
      <c r="K6" s="10" t="str">
        <f ca="1">INDIRECT(ADDRESS(30,6))&amp;":"&amp;INDIRECT(ADDRESS(30,7))</f>
        <v>13:5</v>
      </c>
      <c r="L6" s="94">
        <f ca="1">IF(COUNT(F7:K7)=0,"",COUNTIF(F7:K7,"&gt;0")+0.5*COUNTIF(F7:K7,0))</f>
        <v>3</v>
      </c>
      <c r="M6" s="16">
        <v>-1</v>
      </c>
      <c r="N6" s="87">
        <v>3</v>
      </c>
    </row>
    <row r="7" spans="2:14" ht="24" customHeight="1">
      <c r="B7" s="97"/>
      <c r="C7" s="84"/>
      <c r="D7" s="85"/>
      <c r="E7" s="86"/>
      <c r="F7" s="22">
        <f ca="1">IF(LEN(INDIRECT(ADDRESS(ROW()-1, COLUMN())))=1,"",INDIRECT(ADDRESS(27,7))-INDIRECT(ADDRESS(27,6)))</f>
        <v>6</v>
      </c>
      <c r="G7" s="14" t="s">
        <v>7</v>
      </c>
      <c r="H7" s="16">
        <f ca="1">IF(LEN(INDIRECT(ADDRESS(ROW()-1, COLUMN())))=1,"",INDIRECT(ADDRESS(37,6))-INDIRECT(ADDRESS(37,7)))</f>
        <v>-9</v>
      </c>
      <c r="I7" s="16">
        <f ca="1">IF(LEN(INDIRECT(ADDRESS(ROW()-1, COLUMN())))=1,"",INDIRECT(ADDRESS(41,7))-INDIRECT(ADDRESS(41,6)))</f>
        <v>-8</v>
      </c>
      <c r="J7" s="16">
        <f ca="1">IF(LEN(INDIRECT(ADDRESS(ROW()-1, COLUMN())))=1,"",INDIRECT(ADDRESS(21,6))-INDIRECT(ADDRESS(21,7)))</f>
        <v>7</v>
      </c>
      <c r="K7" s="17">
        <f ca="1">IF(LEN(INDIRECT(ADDRESS(ROW()-1, COLUMN())))=1,"",INDIRECT(ADDRESS(30,6))-INDIRECT(ADDRESS(30,7)))</f>
        <v>8</v>
      </c>
      <c r="L7" s="94"/>
      <c r="M7" s="16">
        <f ca="1">IF(COUNT(F7:K7)=0,"",SUM(F7:K7))</f>
        <v>4</v>
      </c>
      <c r="N7" s="88"/>
    </row>
    <row r="8" spans="2:14" ht="24" customHeight="1">
      <c r="B8" s="89">
        <v>3</v>
      </c>
      <c r="C8" s="84" t="s">
        <v>28</v>
      </c>
      <c r="D8" s="85"/>
      <c r="E8" s="86"/>
      <c r="F8" s="11" t="str">
        <f ca="1">INDIRECT(ADDRESS(31,6))&amp;":"&amp;INDIRECT(ADDRESS(31,7))</f>
        <v>13:1</v>
      </c>
      <c r="G8" s="6" t="str">
        <f ca="1">INDIRECT(ADDRESS(37,7))&amp;":"&amp;INDIRECT(ADDRESS(37,6))</f>
        <v>13:4</v>
      </c>
      <c r="H8" s="7" t="s">
        <v>7</v>
      </c>
      <c r="I8" s="6" t="str">
        <f ca="1">INDIRECT(ADDRESS(22,6))&amp;":"&amp;INDIRECT(ADDRESS(22,7))</f>
        <v>13:3</v>
      </c>
      <c r="J8" s="6" t="str">
        <f ca="1">INDIRECT(ADDRESS(26,7))&amp;":"&amp;INDIRECT(ADDRESS(26,6))</f>
        <v>5:13</v>
      </c>
      <c r="K8" s="10" t="str">
        <f ca="1">INDIRECT(ADDRESS(40,6))&amp;":"&amp;INDIRECT(ADDRESS(40,7))</f>
        <v>13:5</v>
      </c>
      <c r="L8" s="94">
        <f ca="1">IF(COUNT(F9:K9)=0,"",COUNTIF(F9:K9,"&gt;0")+0.5*COUNTIF(F9:K9,0))</f>
        <v>4</v>
      </c>
      <c r="M8" s="16"/>
      <c r="N8" s="87">
        <v>1</v>
      </c>
    </row>
    <row r="9" spans="2:14" ht="24" customHeight="1">
      <c r="B9" s="97"/>
      <c r="C9" s="84"/>
      <c r="D9" s="85"/>
      <c r="E9" s="86"/>
      <c r="F9" s="22">
        <f ca="1">IF(LEN(INDIRECT(ADDRESS(ROW()-1, COLUMN())))=1,"",INDIRECT(ADDRESS(31,6))-INDIRECT(ADDRESS(31,7)))</f>
        <v>12</v>
      </c>
      <c r="G9" s="16">
        <f ca="1">IF(LEN(INDIRECT(ADDRESS(ROW()-1, COLUMN())))=1,"",INDIRECT(ADDRESS(37,7))-INDIRECT(ADDRESS(37,6)))</f>
        <v>9</v>
      </c>
      <c r="H9" s="14" t="s">
        <v>7</v>
      </c>
      <c r="I9" s="16">
        <f ca="1">IF(LEN(INDIRECT(ADDRESS(ROW()-1, COLUMN())))=1,"",INDIRECT(ADDRESS(22,6))-INDIRECT(ADDRESS(22,7)))</f>
        <v>10</v>
      </c>
      <c r="J9" s="16">
        <f ca="1">IF(LEN(INDIRECT(ADDRESS(ROW()-1, COLUMN())))=1,"",INDIRECT(ADDRESS(26,7))-INDIRECT(ADDRESS(26,6)))</f>
        <v>-8</v>
      </c>
      <c r="K9" s="17">
        <f ca="1">IF(LEN(INDIRECT(ADDRESS(ROW()-1, COLUMN())))=1,"",INDIRECT(ADDRESS(40,6))-INDIRECT(ADDRESS(40,7)))</f>
        <v>8</v>
      </c>
      <c r="L9" s="94"/>
      <c r="M9" s="16">
        <f ca="1">IF(COUNT(F9:K9)=0,"",SUM(F9:K9))</f>
        <v>31</v>
      </c>
      <c r="N9" s="88"/>
    </row>
    <row r="10" spans="2:14" ht="24" customHeight="1">
      <c r="B10" s="89">
        <v>4</v>
      </c>
      <c r="C10" s="84" t="s">
        <v>29</v>
      </c>
      <c r="D10" s="85"/>
      <c r="E10" s="86"/>
      <c r="F10" s="11" t="str">
        <f ca="1">INDIRECT(ADDRESS(36,7))&amp;":"&amp;INDIRECT(ADDRESS(36,6))</f>
        <v>5:13</v>
      </c>
      <c r="G10" s="6" t="str">
        <f ca="1">INDIRECT(ADDRESS(41,6))&amp;":"&amp;INDIRECT(ADDRESS(41,7))</f>
        <v>13:5</v>
      </c>
      <c r="H10" s="6" t="str">
        <f ca="1">INDIRECT(ADDRESS(22,7))&amp;":"&amp;INDIRECT(ADDRESS(22,6))</f>
        <v>3:13</v>
      </c>
      <c r="I10" s="7" t="s">
        <v>7</v>
      </c>
      <c r="J10" s="6" t="str">
        <f ca="1">INDIRECT(ADDRESS(32,6))&amp;":"&amp;INDIRECT(ADDRESS(32,7))</f>
        <v>12:10</v>
      </c>
      <c r="K10" s="10" t="str">
        <f ca="1">INDIRECT(ADDRESS(25,7))&amp;":"&amp;INDIRECT(ADDRESS(25,6))</f>
        <v>13:12</v>
      </c>
      <c r="L10" s="94">
        <f ca="1">IF(COUNT(F11:K11)=0,"",COUNTIF(F11:K11,"&gt;0")+0.5*COUNTIF(F11:K11,0))</f>
        <v>3</v>
      </c>
      <c r="M10" s="16">
        <v>10</v>
      </c>
      <c r="N10" s="87">
        <v>2</v>
      </c>
    </row>
    <row r="11" spans="2:14" ht="24" customHeight="1">
      <c r="B11" s="97"/>
      <c r="C11" s="84"/>
      <c r="D11" s="85"/>
      <c r="E11" s="86"/>
      <c r="F11" s="22">
        <f ca="1">IF(LEN(INDIRECT(ADDRESS(ROW()-1, COLUMN())))=1,"",INDIRECT(ADDRESS(36,7))-INDIRECT(ADDRESS(36,6)))</f>
        <v>-8</v>
      </c>
      <c r="G11" s="16">
        <f ca="1">IF(LEN(INDIRECT(ADDRESS(ROW()-1, COLUMN())))=1,"",INDIRECT(ADDRESS(41,6))-INDIRECT(ADDRESS(41,7)))</f>
        <v>8</v>
      </c>
      <c r="H11" s="16">
        <f ca="1">IF(LEN(INDIRECT(ADDRESS(ROW()-1, COLUMN())))=1,"",INDIRECT(ADDRESS(22,7))-INDIRECT(ADDRESS(22,6)))</f>
        <v>-10</v>
      </c>
      <c r="I11" s="14" t="s">
        <v>7</v>
      </c>
      <c r="J11" s="16">
        <f ca="1">IF(LEN(INDIRECT(ADDRESS(ROW()-1, COLUMN())))=1,"",INDIRECT(ADDRESS(32,6))-INDIRECT(ADDRESS(32,7)))</f>
        <v>2</v>
      </c>
      <c r="K11" s="17">
        <f ca="1">IF(LEN(INDIRECT(ADDRESS(ROW()-1, COLUMN())))=1,"",INDIRECT(ADDRESS(25,7))-INDIRECT(ADDRESS(25,6)))</f>
        <v>1</v>
      </c>
      <c r="L11" s="94"/>
      <c r="M11" s="16">
        <f ca="1">IF(COUNT(F11:K11)=0,"",SUM(F11:K11))</f>
        <v>-7</v>
      </c>
      <c r="N11" s="88"/>
    </row>
    <row r="12" spans="2:14" ht="24" customHeight="1">
      <c r="B12" s="89">
        <v>5</v>
      </c>
      <c r="C12" s="84" t="s">
        <v>30</v>
      </c>
      <c r="D12" s="85"/>
      <c r="E12" s="86"/>
      <c r="F12" s="11" t="str">
        <f ca="1">INDIRECT(ADDRESS(42,6))&amp;":"&amp;INDIRECT(ADDRESS(42,7))</f>
        <v>13:9</v>
      </c>
      <c r="G12" s="6" t="str">
        <f ca="1">INDIRECT(ADDRESS(21,7))&amp;":"&amp;INDIRECT(ADDRESS(21,6))</f>
        <v>6:13</v>
      </c>
      <c r="H12" s="6" t="str">
        <f ca="1">INDIRECT(ADDRESS(26,6))&amp;":"&amp;INDIRECT(ADDRESS(26,7))</f>
        <v>13:5</v>
      </c>
      <c r="I12" s="6" t="str">
        <f ca="1">INDIRECT(ADDRESS(32,7))&amp;":"&amp;INDIRECT(ADDRESS(32,6))</f>
        <v>10:12</v>
      </c>
      <c r="J12" s="7" t="s">
        <v>7</v>
      </c>
      <c r="K12" s="10" t="str">
        <f ca="1">INDIRECT(ADDRESS(35,7))&amp;":"&amp;INDIRECT(ADDRESS(35,6))</f>
        <v>13:5</v>
      </c>
      <c r="L12" s="94">
        <f ca="1">IF(COUNT(F13:K13)=0,"",COUNTIF(F13:K13,"&gt;0")+0.5*COUNTIF(F13:K13,0))</f>
        <v>3</v>
      </c>
      <c r="M12" s="16">
        <v>-9</v>
      </c>
      <c r="N12" s="87">
        <v>4</v>
      </c>
    </row>
    <row r="13" spans="2:14" ht="24" customHeight="1">
      <c r="B13" s="97"/>
      <c r="C13" s="84"/>
      <c r="D13" s="85"/>
      <c r="E13" s="86"/>
      <c r="F13" s="22">
        <f ca="1">IF(LEN(INDIRECT(ADDRESS(ROW()-1, COLUMN())))=1,"",INDIRECT(ADDRESS(42,6))-INDIRECT(ADDRESS(42,7)))</f>
        <v>4</v>
      </c>
      <c r="G13" s="16">
        <f ca="1">IF(LEN(INDIRECT(ADDRESS(ROW()-1, COLUMN())))=1,"",INDIRECT(ADDRESS(21,7))-INDIRECT(ADDRESS(21,6)))</f>
        <v>-7</v>
      </c>
      <c r="H13" s="16">
        <f ca="1">IF(LEN(INDIRECT(ADDRESS(ROW()-1, COLUMN())))=1,"",INDIRECT(ADDRESS(26,6))-INDIRECT(ADDRESS(26,7)))</f>
        <v>8</v>
      </c>
      <c r="I13" s="16">
        <f ca="1">IF(LEN(INDIRECT(ADDRESS(ROW()-1, COLUMN())))=1,"",INDIRECT(ADDRESS(32,7))-INDIRECT(ADDRESS(32,6)))</f>
        <v>-2</v>
      </c>
      <c r="J13" s="14" t="s">
        <v>7</v>
      </c>
      <c r="K13" s="17">
        <f ca="1">IF(LEN(INDIRECT(ADDRESS(ROW()-1, COLUMN())))=1,"",INDIRECT(ADDRESS(35,7))-INDIRECT(ADDRESS(35,6)))</f>
        <v>8</v>
      </c>
      <c r="L13" s="94"/>
      <c r="M13" s="16">
        <f ca="1">IF(COUNT(F13:K13)=0,"",SUM(F13:K13))</f>
        <v>11</v>
      </c>
      <c r="N13" s="88"/>
    </row>
    <row r="14" spans="2:14" ht="24" customHeight="1">
      <c r="B14" s="89">
        <v>6</v>
      </c>
      <c r="C14" s="84" t="s">
        <v>31</v>
      </c>
      <c r="D14" s="85"/>
      <c r="E14" s="86"/>
      <c r="F14" s="11" t="str">
        <f ca="1">INDIRECT(ADDRESS(20,7))&amp;":"&amp;INDIRECT(ADDRESS(20,6))</f>
        <v>6:13</v>
      </c>
      <c r="G14" s="6" t="str">
        <f ca="1">INDIRECT(ADDRESS(30,7))&amp;":"&amp;INDIRECT(ADDRESS(30,6))</f>
        <v>5:13</v>
      </c>
      <c r="H14" s="6" t="str">
        <f ca="1">INDIRECT(ADDRESS(40,7))&amp;":"&amp;INDIRECT(ADDRESS(40,6))</f>
        <v>5:13</v>
      </c>
      <c r="I14" s="6" t="str">
        <f ca="1">INDIRECT(ADDRESS(25,6))&amp;":"&amp;INDIRECT(ADDRESS(25,7))</f>
        <v>12:13</v>
      </c>
      <c r="J14" s="6" t="str">
        <f ca="1">INDIRECT(ADDRESS(35,6))&amp;":"&amp;INDIRECT(ADDRESS(35,7))</f>
        <v>5:13</v>
      </c>
      <c r="K14" s="12" t="s">
        <v>7</v>
      </c>
      <c r="L14" s="94">
        <f ca="1">IF(COUNT(F15:K15)=0,"",COUNTIF(F15:K15,"&gt;0")+0.5*COUNTIF(F15:K15,0))</f>
        <v>0</v>
      </c>
      <c r="M14" s="16"/>
      <c r="N14" s="87">
        <v>6</v>
      </c>
    </row>
    <row r="15" spans="2:14" ht="24" customHeight="1" thickBot="1">
      <c r="B15" s="90"/>
      <c r="C15" s="91"/>
      <c r="D15" s="92"/>
      <c r="E15" s="93"/>
      <c r="F15" s="19">
        <f ca="1">IF(LEN(INDIRECT(ADDRESS(ROW()-1, COLUMN())))=1,"",INDIRECT(ADDRESS(20,7))-INDIRECT(ADDRESS(20,6)))</f>
        <v>-7</v>
      </c>
      <c r="G15" s="18">
        <f ca="1">IF(LEN(INDIRECT(ADDRESS(ROW()-1, COLUMN())))=1,"",INDIRECT(ADDRESS(30,7))-INDIRECT(ADDRESS(30,6)))</f>
        <v>-8</v>
      </c>
      <c r="H15" s="18">
        <f ca="1">IF(LEN(INDIRECT(ADDRESS(ROW()-1, COLUMN())))=1,"",INDIRECT(ADDRESS(40,7))-INDIRECT(ADDRESS(40,6)))</f>
        <v>-8</v>
      </c>
      <c r="I15" s="18">
        <f ca="1">IF(LEN(INDIRECT(ADDRESS(ROW()-1, COLUMN())))=1,"",INDIRECT(ADDRESS(25,6))-INDIRECT(ADDRESS(25,7)))</f>
        <v>-1</v>
      </c>
      <c r="J15" s="18">
        <f ca="1">IF(LEN(INDIRECT(ADDRESS(ROW()-1, COLUMN())))=1,"",INDIRECT(ADDRESS(35,6))-INDIRECT(ADDRESS(35,7)))</f>
        <v>-8</v>
      </c>
      <c r="K15" s="15" t="s">
        <v>7</v>
      </c>
      <c r="L15" s="95"/>
      <c r="M15" s="18">
        <f ca="1">IF(COUNT(F15:K15)=0,"",SUM(F15:K15))</f>
        <v>-32</v>
      </c>
      <c r="N15" s="96"/>
    </row>
    <row r="16" spans="2:14">
      <c r="M16"/>
    </row>
    <row r="17" spans="1:13">
      <c r="M17"/>
    </row>
    <row r="18" spans="1:13">
      <c r="M18"/>
    </row>
    <row r="19" spans="1:13" s="40" customFormat="1" ht="30" customHeight="1" thickBot="1">
      <c r="A19" s="39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3" s="40" customFormat="1" ht="30" customHeight="1" thickBot="1">
      <c r="A20" s="39"/>
      <c r="B20" s="45">
        <v>1</v>
      </c>
      <c r="C20" s="80" t="str">
        <f ca="1">IF(ISBLANK(INDIRECT(ADDRESS(B20*2+2,3))),"",INDIRECT(ADDRESS(B20*2+2,3)))</f>
        <v>Симутина Юлия</v>
      </c>
      <c r="D20" s="80"/>
      <c r="E20" s="81"/>
      <c r="F20" s="41">
        <v>13</v>
      </c>
      <c r="G20" s="42">
        <v>6</v>
      </c>
      <c r="H20" s="82" t="str">
        <f ca="1">IF(ISBLANK(INDIRECT(ADDRESS(K20*2+2,3))),"",INDIRECT(ADDRESS(K20*2+2,3)))</f>
        <v>Симонова Елена</v>
      </c>
      <c r="I20" s="80"/>
      <c r="J20" s="80"/>
      <c r="K20" s="45">
        <v>6</v>
      </c>
      <c r="L20" s="43" t="s">
        <v>23</v>
      </c>
      <c r="M20" s="38"/>
    </row>
    <row r="21" spans="1:13" s="40" customFormat="1" ht="30" customHeight="1" thickBot="1">
      <c r="A21" s="39"/>
      <c r="B21" s="45">
        <v>2</v>
      </c>
      <c r="C21" s="80" t="str">
        <f ca="1">IF(ISBLANK(INDIRECT(ADDRESS(B21*2+2,3))),"",INDIRECT(ADDRESS(B21*2+2,3)))</f>
        <v>Лукина Лариса</v>
      </c>
      <c r="D21" s="80"/>
      <c r="E21" s="81"/>
      <c r="F21" s="41">
        <v>13</v>
      </c>
      <c r="G21" s="42">
        <v>6</v>
      </c>
      <c r="H21" s="82" t="str">
        <f ca="1">IF(ISBLANK(INDIRECT(ADDRESS(K21*2+2,3))),"",INDIRECT(ADDRESS(K21*2+2,3)))</f>
        <v>Цепелева Татьяна</v>
      </c>
      <c r="I21" s="80"/>
      <c r="J21" s="80"/>
      <c r="K21" s="45">
        <v>5</v>
      </c>
      <c r="L21" s="43" t="s">
        <v>24</v>
      </c>
      <c r="M21" s="38"/>
    </row>
    <row r="22" spans="1:13" s="40" customFormat="1" ht="30" customHeight="1" thickBot="1">
      <c r="A22" s="39"/>
      <c r="B22" s="45">
        <v>3</v>
      </c>
      <c r="C22" s="80" t="str">
        <f ca="1">IF(ISBLANK(INDIRECT(ADDRESS(B22*2+2,3))),"",INDIRECT(ADDRESS(B22*2+2,3)))</f>
        <v>Кочетова Валерия</v>
      </c>
      <c r="D22" s="80"/>
      <c r="E22" s="81"/>
      <c r="F22" s="41">
        <v>13</v>
      </c>
      <c r="G22" s="42">
        <v>3</v>
      </c>
      <c r="H22" s="82" t="str">
        <f ca="1">IF(ISBLANK(INDIRECT(ADDRESS(K22*2+2,3))),"",INDIRECT(ADDRESS(K22*2+2,3)))</f>
        <v>Серёгина Ольга</v>
      </c>
      <c r="I22" s="80"/>
      <c r="J22" s="80"/>
      <c r="K22" s="45">
        <v>4</v>
      </c>
      <c r="L22" s="43" t="s">
        <v>25</v>
      </c>
      <c r="M22" s="38"/>
    </row>
    <row r="23" spans="1:13" s="40" customFormat="1" ht="30" customHeight="1">
      <c r="A23" s="39"/>
      <c r="M23" s="46"/>
    </row>
    <row r="24" spans="1:13" s="40" customFormat="1" ht="30" customHeight="1" thickBot="1">
      <c r="A24" s="39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46"/>
    </row>
    <row r="25" spans="1:13" s="40" customFormat="1" ht="30" customHeight="1" thickBot="1">
      <c r="A25" s="39"/>
      <c r="B25" s="45">
        <v>6</v>
      </c>
      <c r="C25" s="80" t="str">
        <f ca="1">IF(ISBLANK(INDIRECT(ADDRESS(B25*2+2,3))),"",INDIRECT(ADDRESS(B25*2+2,3)))</f>
        <v>Симонова Елена</v>
      </c>
      <c r="D25" s="80"/>
      <c r="E25" s="81"/>
      <c r="F25" s="41">
        <v>12</v>
      </c>
      <c r="G25" s="42">
        <v>13</v>
      </c>
      <c r="H25" s="82" t="str">
        <f ca="1">IF(ISBLANK(INDIRECT(ADDRESS(K25*2+2,3))),"",INDIRECT(ADDRESS(K25*2+2,3)))</f>
        <v>Серёгина Ольга</v>
      </c>
      <c r="I25" s="80"/>
      <c r="J25" s="80"/>
      <c r="K25" s="45">
        <v>4</v>
      </c>
      <c r="L25" s="43" t="s">
        <v>11</v>
      </c>
      <c r="M25" s="38"/>
    </row>
    <row r="26" spans="1:13" s="40" customFormat="1" ht="30" customHeight="1" thickBot="1">
      <c r="A26" s="39"/>
      <c r="B26" s="45">
        <v>5</v>
      </c>
      <c r="C26" s="80" t="str">
        <f ca="1">IF(ISBLANK(INDIRECT(ADDRESS(B26*2+2,3))),"",INDIRECT(ADDRESS(B26*2+2,3)))</f>
        <v>Цепелева Татьяна</v>
      </c>
      <c r="D26" s="80"/>
      <c r="E26" s="81"/>
      <c r="F26" s="41">
        <v>13</v>
      </c>
      <c r="G26" s="42">
        <v>5</v>
      </c>
      <c r="H26" s="82" t="str">
        <f ca="1">IF(ISBLANK(INDIRECT(ADDRESS(K26*2+2,3))),"",INDIRECT(ADDRESS(K26*2+2,3)))</f>
        <v>Кочетова Валерия</v>
      </c>
      <c r="I26" s="80"/>
      <c r="J26" s="80"/>
      <c r="K26" s="45">
        <v>3</v>
      </c>
      <c r="L26" s="43" t="s">
        <v>11</v>
      </c>
      <c r="M26" s="38"/>
    </row>
    <row r="27" spans="1:13" s="40" customFormat="1" ht="30" customHeight="1" thickBot="1">
      <c r="A27" s="39"/>
      <c r="B27" s="45">
        <v>1</v>
      </c>
      <c r="C27" s="80" t="str">
        <f ca="1">IF(ISBLANK(INDIRECT(ADDRESS(B27*2+2,3))),"",INDIRECT(ADDRESS(B27*2+2,3)))</f>
        <v>Симутина Юлия</v>
      </c>
      <c r="D27" s="80"/>
      <c r="E27" s="81"/>
      <c r="F27" s="41">
        <v>7</v>
      </c>
      <c r="G27" s="42">
        <v>13</v>
      </c>
      <c r="H27" s="82" t="str">
        <f ca="1">IF(ISBLANK(INDIRECT(ADDRESS(K27*2+2,3))),"",INDIRECT(ADDRESS(K27*2+2,3)))</f>
        <v>Лукина Лариса</v>
      </c>
      <c r="I27" s="80"/>
      <c r="J27" s="80"/>
      <c r="K27" s="45">
        <v>2</v>
      </c>
      <c r="L27" s="43" t="s">
        <v>11</v>
      </c>
      <c r="M27" s="38"/>
    </row>
    <row r="28" spans="1:13" s="40" customFormat="1" ht="30" customHeight="1">
      <c r="A28" s="39"/>
      <c r="M28" s="46"/>
    </row>
    <row r="29" spans="1:13" s="40" customFormat="1" ht="30" customHeight="1" thickBot="1">
      <c r="A29" s="39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46"/>
    </row>
    <row r="30" spans="1:13" s="40" customFormat="1" ht="30" customHeight="1" thickBot="1">
      <c r="A30" s="39"/>
      <c r="B30" s="45">
        <v>2</v>
      </c>
      <c r="C30" s="80" t="str">
        <f ca="1">IF(ISBLANK(INDIRECT(ADDRESS(B30*2+2,3))),"",INDIRECT(ADDRESS(B30*2+2,3)))</f>
        <v>Лукина Лариса</v>
      </c>
      <c r="D30" s="80"/>
      <c r="E30" s="81"/>
      <c r="F30" s="41">
        <v>13</v>
      </c>
      <c r="G30" s="42">
        <v>5</v>
      </c>
      <c r="H30" s="82" t="str">
        <f ca="1">IF(ISBLANK(INDIRECT(ADDRESS(K30*2+2,3))),"",INDIRECT(ADDRESS(K30*2+2,3)))</f>
        <v>Симонова Елена</v>
      </c>
      <c r="I30" s="80"/>
      <c r="J30" s="80"/>
      <c r="K30" s="45">
        <v>6</v>
      </c>
      <c r="L30" s="43" t="s">
        <v>11</v>
      </c>
      <c r="M30" s="38"/>
    </row>
    <row r="31" spans="1:13" s="40" customFormat="1" ht="30" customHeight="1" thickBot="1">
      <c r="A31" s="39"/>
      <c r="B31" s="45">
        <v>3</v>
      </c>
      <c r="C31" s="80" t="str">
        <f ca="1">IF(ISBLANK(INDIRECT(ADDRESS(B31*2+2,3))),"",INDIRECT(ADDRESS(B31*2+2,3)))</f>
        <v>Кочетова Валерия</v>
      </c>
      <c r="D31" s="80"/>
      <c r="E31" s="81"/>
      <c r="F31" s="41">
        <v>13</v>
      </c>
      <c r="G31" s="42">
        <v>1</v>
      </c>
      <c r="H31" s="82" t="str">
        <f ca="1">IF(ISBLANK(INDIRECT(ADDRESS(K31*2+2,3))),"",INDIRECT(ADDRESS(K31*2+2,3)))</f>
        <v>Симутина Юлия</v>
      </c>
      <c r="I31" s="80"/>
      <c r="J31" s="80"/>
      <c r="K31" s="45">
        <v>1</v>
      </c>
      <c r="L31" s="43" t="s">
        <v>11</v>
      </c>
      <c r="M31" s="38"/>
    </row>
    <row r="32" spans="1:13" s="40" customFormat="1" ht="30" customHeight="1" thickBot="1">
      <c r="A32" s="39"/>
      <c r="B32" s="45">
        <v>4</v>
      </c>
      <c r="C32" s="80" t="str">
        <f ca="1">IF(ISBLANK(INDIRECT(ADDRESS(B32*2+2,3))),"",INDIRECT(ADDRESS(B32*2+2,3)))</f>
        <v>Серёгина Ольга</v>
      </c>
      <c r="D32" s="80"/>
      <c r="E32" s="81"/>
      <c r="F32" s="41">
        <v>12</v>
      </c>
      <c r="G32" s="42">
        <v>10</v>
      </c>
      <c r="H32" s="82" t="str">
        <f ca="1">IF(ISBLANK(INDIRECT(ADDRESS(K32*2+2,3))),"",INDIRECT(ADDRESS(K32*2+2,3)))</f>
        <v>Цепелева Татьяна</v>
      </c>
      <c r="I32" s="80"/>
      <c r="J32" s="80"/>
      <c r="K32" s="45">
        <v>5</v>
      </c>
      <c r="L32" s="43" t="s">
        <v>11</v>
      </c>
      <c r="M32" s="38"/>
    </row>
    <row r="33" spans="1:13" s="40" customFormat="1" ht="30" customHeight="1">
      <c r="A33" s="39"/>
      <c r="M33" s="46"/>
    </row>
    <row r="34" spans="1:13" s="40" customFormat="1" ht="30" customHeight="1" thickBot="1">
      <c r="A34" s="39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46"/>
    </row>
    <row r="35" spans="1:13" s="40" customFormat="1" ht="30" customHeight="1" thickBot="1">
      <c r="A35" s="39"/>
      <c r="B35" s="45">
        <v>6</v>
      </c>
      <c r="C35" s="80" t="str">
        <f ca="1">IF(ISBLANK(INDIRECT(ADDRESS(B35*2+2,3))),"",INDIRECT(ADDRESS(B35*2+2,3)))</f>
        <v>Симонова Елена</v>
      </c>
      <c r="D35" s="80"/>
      <c r="E35" s="81"/>
      <c r="F35" s="41">
        <v>5</v>
      </c>
      <c r="G35" s="42">
        <v>13</v>
      </c>
      <c r="H35" s="82" t="str">
        <f ca="1">IF(ISBLANK(INDIRECT(ADDRESS(K35*2+2,3))),"",INDIRECT(ADDRESS(K35*2+2,3)))</f>
        <v>Цепелева Татьяна</v>
      </c>
      <c r="I35" s="80"/>
      <c r="J35" s="80"/>
      <c r="K35" s="45">
        <v>5</v>
      </c>
      <c r="L35" s="43" t="s">
        <v>11</v>
      </c>
      <c r="M35" s="38"/>
    </row>
    <row r="36" spans="1:13" s="40" customFormat="1" ht="30" customHeight="1" thickBot="1">
      <c r="A36" s="39"/>
      <c r="B36" s="45">
        <v>1</v>
      </c>
      <c r="C36" s="80" t="str">
        <f ca="1">IF(ISBLANK(INDIRECT(ADDRESS(B36*2+2,3))),"",INDIRECT(ADDRESS(B36*2+2,3)))</f>
        <v>Симутина Юлия</v>
      </c>
      <c r="D36" s="80"/>
      <c r="E36" s="81"/>
      <c r="F36" s="41">
        <v>13</v>
      </c>
      <c r="G36" s="42">
        <v>5</v>
      </c>
      <c r="H36" s="82" t="str">
        <f ca="1">IF(ISBLANK(INDIRECT(ADDRESS(K36*2+2,3))),"",INDIRECT(ADDRESS(K36*2+2,3)))</f>
        <v>Серёгина Ольга</v>
      </c>
      <c r="I36" s="80"/>
      <c r="J36" s="80"/>
      <c r="K36" s="45">
        <v>4</v>
      </c>
      <c r="L36" s="43" t="s">
        <v>11</v>
      </c>
      <c r="M36" s="38"/>
    </row>
    <row r="37" spans="1:13" s="40" customFormat="1" ht="30" customHeight="1" thickBot="1">
      <c r="A37" s="39"/>
      <c r="B37" s="45">
        <v>2</v>
      </c>
      <c r="C37" s="80" t="str">
        <f ca="1">IF(ISBLANK(INDIRECT(ADDRESS(B37*2+2,3))),"",INDIRECT(ADDRESS(B37*2+2,3)))</f>
        <v>Лукина Лариса</v>
      </c>
      <c r="D37" s="80"/>
      <c r="E37" s="81"/>
      <c r="F37" s="41">
        <v>4</v>
      </c>
      <c r="G37" s="42">
        <v>13</v>
      </c>
      <c r="H37" s="82" t="str">
        <f ca="1">IF(ISBLANK(INDIRECT(ADDRESS(K37*2+2,3))),"",INDIRECT(ADDRESS(K37*2+2,3)))</f>
        <v>Кочетова Валерия</v>
      </c>
      <c r="I37" s="80"/>
      <c r="J37" s="80"/>
      <c r="K37" s="45">
        <v>3</v>
      </c>
      <c r="L37" s="43" t="s">
        <v>11</v>
      </c>
      <c r="M37" s="38"/>
    </row>
    <row r="38" spans="1:13" s="40" customFormat="1" ht="30" customHeight="1">
      <c r="A38" s="39"/>
      <c r="M38" s="46"/>
    </row>
    <row r="39" spans="1:13" s="40" customFormat="1" ht="30" customHeight="1" thickBot="1">
      <c r="A39" s="39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46"/>
    </row>
    <row r="40" spans="1:13" s="40" customFormat="1" ht="30" customHeight="1" thickBot="1">
      <c r="A40" s="39"/>
      <c r="B40" s="45">
        <v>3</v>
      </c>
      <c r="C40" s="80" t="str">
        <f ca="1">IF(ISBLANK(INDIRECT(ADDRESS(B40*2+2,3))),"",INDIRECT(ADDRESS(B40*2+2,3)))</f>
        <v>Кочетова Валерия</v>
      </c>
      <c r="D40" s="80"/>
      <c r="E40" s="81"/>
      <c r="F40" s="41">
        <v>13</v>
      </c>
      <c r="G40" s="42">
        <v>5</v>
      </c>
      <c r="H40" s="82" t="str">
        <f ca="1">IF(ISBLANK(INDIRECT(ADDRESS(K40*2+2,3))),"",INDIRECT(ADDRESS(K40*2+2,3)))</f>
        <v>Симонова Елена</v>
      </c>
      <c r="I40" s="80"/>
      <c r="J40" s="80"/>
      <c r="K40" s="45">
        <v>6</v>
      </c>
      <c r="L40" s="43" t="s">
        <v>11</v>
      </c>
      <c r="M40" s="38"/>
    </row>
    <row r="41" spans="1:13" s="40" customFormat="1" ht="30" customHeight="1" thickBot="1">
      <c r="A41" s="39"/>
      <c r="B41" s="45">
        <v>4</v>
      </c>
      <c r="C41" s="80" t="str">
        <f ca="1">IF(ISBLANK(INDIRECT(ADDRESS(B41*2+2,3))),"",INDIRECT(ADDRESS(B41*2+2,3)))</f>
        <v>Серёгина Ольга</v>
      </c>
      <c r="D41" s="80"/>
      <c r="E41" s="81"/>
      <c r="F41" s="41">
        <v>13</v>
      </c>
      <c r="G41" s="42">
        <v>5</v>
      </c>
      <c r="H41" s="82" t="str">
        <f ca="1">IF(ISBLANK(INDIRECT(ADDRESS(K41*2+2,3))),"",INDIRECT(ADDRESS(K41*2+2,3)))</f>
        <v>Лукина Лариса</v>
      </c>
      <c r="I41" s="80"/>
      <c r="J41" s="80"/>
      <c r="K41" s="45">
        <v>2</v>
      </c>
      <c r="L41" s="43" t="s">
        <v>11</v>
      </c>
      <c r="M41" s="38"/>
    </row>
    <row r="42" spans="1:13" s="40" customFormat="1" ht="30" customHeight="1" thickBot="1">
      <c r="A42" s="39"/>
      <c r="B42" s="45">
        <v>5</v>
      </c>
      <c r="C42" s="80" t="str">
        <f ca="1">IF(ISBLANK(INDIRECT(ADDRESS(B42*2+2,3))),"",INDIRECT(ADDRESS(B42*2+2,3)))</f>
        <v>Цепелева Татьяна</v>
      </c>
      <c r="D42" s="80"/>
      <c r="E42" s="81"/>
      <c r="F42" s="41">
        <v>13</v>
      </c>
      <c r="G42" s="42">
        <v>9</v>
      </c>
      <c r="H42" s="82" t="str">
        <f ca="1">IF(ISBLANK(INDIRECT(ADDRESS(K42*2+2,3))),"",INDIRECT(ADDRESS(K42*2+2,3)))</f>
        <v>Симутина Юлия</v>
      </c>
      <c r="I42" s="80"/>
      <c r="J42" s="80"/>
      <c r="K42" s="45">
        <v>1</v>
      </c>
      <c r="L42" s="43" t="s">
        <v>11</v>
      </c>
      <c r="M42" s="38"/>
    </row>
    <row r="45" spans="1:13" ht="21">
      <c r="B45" s="59" t="s">
        <v>103</v>
      </c>
      <c r="C45" s="59"/>
      <c r="D45" s="59"/>
      <c r="E45" s="59"/>
      <c r="F45" s="59"/>
      <c r="G45" s="59"/>
      <c r="H45" s="40"/>
    </row>
    <row r="46" spans="1:13" ht="21">
      <c r="B46" s="59"/>
      <c r="C46" s="59"/>
      <c r="D46" s="59"/>
      <c r="E46" s="59"/>
      <c r="F46" s="59"/>
      <c r="G46" s="59"/>
      <c r="H46" s="40"/>
    </row>
    <row r="47" spans="1:13" ht="21">
      <c r="B47" s="59"/>
      <c r="C47" s="59"/>
      <c r="D47" s="59"/>
      <c r="E47" s="59"/>
      <c r="F47" s="59"/>
      <c r="G47" s="59"/>
      <c r="H47" s="40"/>
    </row>
    <row r="48" spans="1:13" ht="21">
      <c r="B48" s="59" t="s">
        <v>104</v>
      </c>
      <c r="C48" s="59"/>
      <c r="D48" s="59"/>
      <c r="E48" s="59"/>
      <c r="F48" s="59"/>
      <c r="G48" s="59"/>
      <c r="H48" s="40"/>
    </row>
  </sheetData>
  <sheetCalcPr fullCalcOnLoad="1"/>
  <mergeCells count="61">
    <mergeCell ref="C41:E41"/>
    <mergeCell ref="H41:J41"/>
    <mergeCell ref="H35:J35"/>
    <mergeCell ref="C36:E36"/>
    <mergeCell ref="H36:J36"/>
    <mergeCell ref="C40:E40"/>
    <mergeCell ref="H40:J40"/>
    <mergeCell ref="C37:E37"/>
    <mergeCell ref="H37:J37"/>
    <mergeCell ref="C26:E26"/>
    <mergeCell ref="H26:J26"/>
    <mergeCell ref="C27:E27"/>
    <mergeCell ref="C42:E42"/>
    <mergeCell ref="H42:J42"/>
    <mergeCell ref="H27:J27"/>
    <mergeCell ref="B39:K39"/>
    <mergeCell ref="C30:E30"/>
    <mergeCell ref="H30:J30"/>
    <mergeCell ref="C31:E31"/>
    <mergeCell ref="B29:K29"/>
    <mergeCell ref="B34:K34"/>
    <mergeCell ref="C35:E35"/>
    <mergeCell ref="H31:J31"/>
    <mergeCell ref="C32:E32"/>
    <mergeCell ref="H32:J32"/>
    <mergeCell ref="B24:K24"/>
    <mergeCell ref="C25:E25"/>
    <mergeCell ref="H25:J25"/>
    <mergeCell ref="C22:E22"/>
    <mergeCell ref="H22:J22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L12:L13"/>
    <mergeCell ref="B12:B13"/>
    <mergeCell ref="C12:E13"/>
    <mergeCell ref="B8:B9"/>
    <mergeCell ref="C8:E9"/>
    <mergeCell ref="L8:L9"/>
    <mergeCell ref="N8:N9"/>
    <mergeCell ref="B10:B11"/>
    <mergeCell ref="C10:E11"/>
    <mergeCell ref="L10:L11"/>
    <mergeCell ref="N10:N11"/>
    <mergeCell ref="B6:B7"/>
    <mergeCell ref="C6:E7"/>
    <mergeCell ref="L6:L7"/>
    <mergeCell ref="B1:N1"/>
    <mergeCell ref="N6:N7"/>
    <mergeCell ref="C3:E3"/>
    <mergeCell ref="B4:B5"/>
    <mergeCell ref="C4:E5"/>
    <mergeCell ref="L4:L5"/>
    <mergeCell ref="N4:N5"/>
  </mergeCells>
  <phoneticPr fontId="10" type="noConversion"/>
  <printOptions horizontalCentered="1"/>
  <pageMargins left="0.25" right="0.25" top="0.75" bottom="0.75" header="0.3" footer="0.3"/>
  <pageSetup paperSize="9"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A25" workbookViewId="0">
      <selection activeCell="B38" sqref="B38:H41"/>
    </sheetView>
  </sheetViews>
  <sheetFormatPr defaultRowHeight="15"/>
  <cols>
    <col min="1" max="1" width="4" style="27" customWidth="1"/>
    <col min="2" max="12" width="10.28515625" customWidth="1"/>
    <col min="13" max="13" width="10.28515625" style="36" customWidth="1"/>
    <col min="14" max="15" width="10.28515625" customWidth="1"/>
  </cols>
  <sheetData>
    <row r="1" spans="2:14" ht="36" customHeight="1">
      <c r="B1" s="121" t="s">
        <v>74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49"/>
    </row>
    <row r="2" spans="2:14" ht="15.75" thickBot="1">
      <c r="M2"/>
    </row>
    <row r="3" spans="2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1">
        <v>3</v>
      </c>
      <c r="I3" s="2">
        <v>4</v>
      </c>
      <c r="J3" s="2">
        <v>5</v>
      </c>
      <c r="K3" s="24" t="s">
        <v>1</v>
      </c>
      <c r="L3" s="1" t="s">
        <v>3</v>
      </c>
      <c r="M3" s="21" t="s">
        <v>2</v>
      </c>
    </row>
    <row r="4" spans="2:14" ht="24" customHeight="1">
      <c r="B4" s="102">
        <v>1</v>
      </c>
      <c r="C4" s="103" t="s">
        <v>75</v>
      </c>
      <c r="D4" s="104"/>
      <c r="E4" s="105"/>
      <c r="F4" s="9" t="s">
        <v>7</v>
      </c>
      <c r="G4" s="5" t="str">
        <f ca="1">INDIRECT(ADDRESS(23,6))&amp;":"&amp;INDIRECT(ADDRESS(23,7))</f>
        <v>8:10</v>
      </c>
      <c r="H4" s="5" t="str">
        <f ca="1">INDIRECT(ADDRESS(26,7))&amp;":"&amp;INDIRECT(ADDRESS(26,6))</f>
        <v>5:12</v>
      </c>
      <c r="I4" s="5" t="str">
        <f ca="1">INDIRECT(ADDRESS(30,6))&amp;":"&amp;INDIRECT(ADDRESS(30,7))</f>
        <v>13:1</v>
      </c>
      <c r="J4" s="20" t="str">
        <f ca="1">INDIRECT(ADDRESS(35,7))&amp;":"&amp;INDIRECT(ADDRESS(35,6))</f>
        <v>13:7</v>
      </c>
      <c r="K4" s="122">
        <f ca="1">IF(COUNT(F5:J5)=0,"",COUNTIF(F5:J5,"&gt;0")+0.5*COUNTIF(F5:J5,0))</f>
        <v>2</v>
      </c>
      <c r="L4" s="23"/>
      <c r="M4" s="123">
        <v>1</v>
      </c>
    </row>
    <row r="5" spans="2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COLUMN())))=1,"",INDIRECT(ADDRESS(23,6))-INDIRECT(ADDRESS(23,7)))</f>
        <v>-2</v>
      </c>
      <c r="H5" s="16">
        <f ca="1">IF(LEN(INDIRECT(ADDRESS(ROW()-1, COLUMN())))=1,"",INDIRECT(ADDRESS(26,7))-INDIRECT(ADDRESS(26,6)))</f>
        <v>-7</v>
      </c>
      <c r="I5" s="16">
        <f ca="1">IF(LEN(INDIRECT(ADDRESS(ROW()-1, COLUMN())))=1,"",INDIRECT(ADDRESS(30,6))-INDIRECT(ADDRESS(30,7)))</f>
        <v>12</v>
      </c>
      <c r="J5" s="17">
        <f ca="1">IF(LEN(INDIRECT(ADDRESS(ROW()-1, COLUMN())))=1,"",INDIRECT(ADDRESS(35,7))-INDIRECT(ADDRESS(35,6)))</f>
        <v>6</v>
      </c>
      <c r="K5" s="117"/>
      <c r="L5" s="16">
        <f ca="1">IF(COUNT(F5:J5)=0,"",SUM(F5:J5))</f>
        <v>9</v>
      </c>
      <c r="M5" s="118"/>
    </row>
    <row r="6" spans="2:14" ht="24" customHeight="1">
      <c r="B6" s="89">
        <v>2</v>
      </c>
      <c r="C6" s="84" t="s">
        <v>76</v>
      </c>
      <c r="D6" s="85"/>
      <c r="E6" s="86"/>
      <c r="F6" s="11" t="str">
        <f ca="1">INDIRECT(ADDRESS(23,7))&amp;":"&amp;INDIRECT(ADDRESS(23,6))</f>
        <v>10:8</v>
      </c>
      <c r="G6" s="7" t="s">
        <v>7</v>
      </c>
      <c r="H6" s="6" t="str">
        <f ca="1">INDIRECT(ADDRESS(31,6))&amp;":"&amp;INDIRECT(ADDRESS(31,7))</f>
        <v>9:6</v>
      </c>
      <c r="I6" s="6" t="str">
        <f ca="1">INDIRECT(ADDRESS(34,7))&amp;":"&amp;INDIRECT(ADDRESS(34,6))</f>
        <v>13:1</v>
      </c>
      <c r="J6" s="10" t="str">
        <f ca="1">INDIRECT(ADDRESS(18,6))&amp;":"&amp;INDIRECT(ADDRESS(18,7))</f>
        <v>13:3</v>
      </c>
      <c r="K6" s="117">
        <f ca="1">IF(COUNT(F7:J7)=0,"",COUNTIF(F7:J7,"&gt;0")+0.5*COUNTIF(F7:J7,0))</f>
        <v>4</v>
      </c>
      <c r="L6" s="16"/>
      <c r="M6" s="118">
        <v>2</v>
      </c>
    </row>
    <row r="7" spans="2:14" ht="24" customHeight="1">
      <c r="B7" s="97"/>
      <c r="C7" s="84"/>
      <c r="D7" s="85"/>
      <c r="E7" s="86"/>
      <c r="F7" s="22">
        <f ca="1">IF(LEN(INDIRECT(ADDRESS(ROW()-1, COLUMN())))=1,"",INDIRECT(ADDRESS(23,7))-INDIRECT(ADDRESS(23,6)))</f>
        <v>2</v>
      </c>
      <c r="G7" s="14" t="s">
        <v>7</v>
      </c>
      <c r="H7" s="16">
        <f ca="1">IF(LEN(INDIRECT(ADDRESS(ROW()-1, COLUMN())))=1,"",INDIRECT(ADDRESS(31,6))-INDIRECT(ADDRESS(31,7)))</f>
        <v>3</v>
      </c>
      <c r="I7" s="16">
        <f ca="1">IF(LEN(INDIRECT(ADDRESS(ROW()-1, COLUMN())))=1,"",INDIRECT(ADDRESS(34,7))-INDIRECT(ADDRESS(34,6)))</f>
        <v>12</v>
      </c>
      <c r="J7" s="17">
        <f ca="1">IF(LEN(INDIRECT(ADDRESS(ROW()-1, COLUMN())))=1,"",INDIRECT(ADDRESS(18,6))-INDIRECT(ADDRESS(18,7)))</f>
        <v>10</v>
      </c>
      <c r="K7" s="117"/>
      <c r="L7" s="16">
        <f ca="1">IF(COUNT(F7:J7)=0,"",SUM(F7:J7))</f>
        <v>27</v>
      </c>
      <c r="M7" s="118"/>
    </row>
    <row r="8" spans="2:14" ht="24" customHeight="1">
      <c r="B8" s="89">
        <v>3</v>
      </c>
      <c r="C8" s="84" t="s">
        <v>77</v>
      </c>
      <c r="D8" s="85"/>
      <c r="E8" s="86"/>
      <c r="F8" s="11" t="str">
        <f ca="1">INDIRECT(ADDRESS(26,6))&amp;":"&amp;INDIRECT(ADDRESS(26,7))</f>
        <v>12:5</v>
      </c>
      <c r="G8" s="6" t="str">
        <f ca="1">INDIRECT(ADDRESS(31,7))&amp;":"&amp;INDIRECT(ADDRESS(31,6))</f>
        <v>6:9</v>
      </c>
      <c r="H8" s="7" t="s">
        <v>7</v>
      </c>
      <c r="I8" s="6" t="str">
        <f ca="1">INDIRECT(ADDRESS(19,6))&amp;":"&amp;INDIRECT(ADDRESS(19,7))</f>
        <v>13:0</v>
      </c>
      <c r="J8" s="10" t="str">
        <f ca="1">INDIRECT(ADDRESS(22,7))&amp;":"&amp;INDIRECT(ADDRESS(22,6))</f>
        <v>9:3</v>
      </c>
      <c r="K8" s="117">
        <f ca="1">IF(COUNT(F9:J9)=0,"",COUNTIF(F9:J9,"&gt;0")+0.5*COUNTIF(F9:J9,0))</f>
        <v>3</v>
      </c>
      <c r="L8" s="16"/>
      <c r="M8" s="118">
        <v>4</v>
      </c>
    </row>
    <row r="9" spans="2:14" ht="24" customHeight="1">
      <c r="B9" s="97"/>
      <c r="C9" s="84"/>
      <c r="D9" s="85"/>
      <c r="E9" s="86"/>
      <c r="F9" s="22">
        <f ca="1">IF(LEN(INDIRECT(ADDRESS(ROW()-1, COLUMN())))=1,"",INDIRECT(ADDRESS(26,6))-INDIRECT(ADDRESS(26,7)))</f>
        <v>7</v>
      </c>
      <c r="G9" s="16">
        <f ca="1">IF(LEN(INDIRECT(ADDRESS(ROW()-1, COLUMN())))=1,"",INDIRECT(ADDRESS(31,7))-INDIRECT(ADDRESS(31,6)))</f>
        <v>-3</v>
      </c>
      <c r="H9" s="14" t="s">
        <v>7</v>
      </c>
      <c r="I9" s="16">
        <f ca="1">IF(LEN(INDIRECT(ADDRESS(ROW()-1, COLUMN())))=1,"",INDIRECT(ADDRESS(19,6))-INDIRECT(ADDRESS(19,7)))</f>
        <v>13</v>
      </c>
      <c r="J9" s="17">
        <f ca="1">IF(LEN(INDIRECT(ADDRESS(ROW()-1, COLUMN())))=1,"",INDIRECT(ADDRESS(22,7))-INDIRECT(ADDRESS(22,6)))</f>
        <v>6</v>
      </c>
      <c r="K9" s="117"/>
      <c r="L9" s="16">
        <f ca="1">IF(COUNT(F9:J9)=0,"",SUM(F9:J9))</f>
        <v>23</v>
      </c>
      <c r="M9" s="118"/>
    </row>
    <row r="10" spans="2:14" ht="24" customHeight="1">
      <c r="B10" s="89">
        <v>4</v>
      </c>
      <c r="C10" s="84" t="s">
        <v>78</v>
      </c>
      <c r="D10" s="85"/>
      <c r="E10" s="86"/>
      <c r="F10" s="11" t="str">
        <f ca="1">INDIRECT(ADDRESS(30,7))&amp;":"&amp;INDIRECT(ADDRESS(30,6))</f>
        <v>1:13</v>
      </c>
      <c r="G10" s="6" t="str">
        <f ca="1">INDIRECT(ADDRESS(34,6))&amp;":"&amp;INDIRECT(ADDRESS(34,7))</f>
        <v>1:13</v>
      </c>
      <c r="H10" s="6" t="str">
        <f ca="1">INDIRECT(ADDRESS(19,7))&amp;":"&amp;INDIRECT(ADDRESS(19,6))</f>
        <v>0:13</v>
      </c>
      <c r="I10" s="7" t="s">
        <v>7</v>
      </c>
      <c r="J10" s="10" t="str">
        <f ca="1">INDIRECT(ADDRESS(27,6))&amp;":"&amp;INDIRECT(ADDRESS(27,7))</f>
        <v>5:12</v>
      </c>
      <c r="K10" s="117">
        <f ca="1">IF(COUNT(F11:J11)=0,"",COUNTIF(F11:J11,"&gt;0")+0.5*COUNTIF(F11:J11,0))</f>
        <v>0</v>
      </c>
      <c r="L10" s="16"/>
      <c r="M10" s="118">
        <v>5</v>
      </c>
    </row>
    <row r="11" spans="2:14" ht="24" customHeight="1">
      <c r="B11" s="97"/>
      <c r="C11" s="84"/>
      <c r="D11" s="85"/>
      <c r="E11" s="86"/>
      <c r="F11" s="22">
        <f ca="1">IF(LEN(INDIRECT(ADDRESS(ROW()-1, COLUMN())))=1,"",INDIRECT(ADDRESS(30,7))-INDIRECT(ADDRESS(30,6)))</f>
        <v>-12</v>
      </c>
      <c r="G11" s="16">
        <f ca="1">IF(LEN(INDIRECT(ADDRESS(ROW()-1, COLUMN())))=1,"",INDIRECT(ADDRESS(34,6))-INDIRECT(ADDRESS(34,7)))</f>
        <v>-12</v>
      </c>
      <c r="H11" s="16">
        <f ca="1">IF(LEN(INDIRECT(ADDRESS(ROW()-1, COLUMN())))=1,"",INDIRECT(ADDRESS(19,7))-INDIRECT(ADDRESS(19,6)))</f>
        <v>-13</v>
      </c>
      <c r="I11" s="14" t="s">
        <v>7</v>
      </c>
      <c r="J11" s="17">
        <f ca="1">IF(LEN(INDIRECT(ADDRESS(ROW()-1, COLUMN())))=1,"",INDIRECT(ADDRESS(27,6))-INDIRECT(ADDRESS(27,7)))</f>
        <v>-7</v>
      </c>
      <c r="K11" s="117"/>
      <c r="L11" s="16">
        <f ca="1">IF(COUNT(F11:J11)=0,"",SUM(F11:J11))</f>
        <v>-44</v>
      </c>
      <c r="M11" s="118"/>
    </row>
    <row r="12" spans="2:14" ht="24" customHeight="1">
      <c r="B12" s="89">
        <v>5</v>
      </c>
      <c r="C12" s="84" t="s">
        <v>79</v>
      </c>
      <c r="D12" s="85"/>
      <c r="E12" s="86"/>
      <c r="F12" s="11" t="str">
        <f ca="1">INDIRECT(ADDRESS(35,6))&amp;":"&amp;INDIRECT(ADDRESS(35,7))</f>
        <v>7:13</v>
      </c>
      <c r="G12" s="6" t="str">
        <f ca="1">INDIRECT(ADDRESS(18,7))&amp;":"&amp;INDIRECT(ADDRESS(18,6))</f>
        <v>3:13</v>
      </c>
      <c r="H12" s="6" t="str">
        <f ca="1">INDIRECT(ADDRESS(22,6))&amp;":"&amp;INDIRECT(ADDRESS(22,7))</f>
        <v>3:9</v>
      </c>
      <c r="I12" s="6" t="str">
        <f ca="1">INDIRECT(ADDRESS(27,7))&amp;":"&amp;INDIRECT(ADDRESS(27,6))</f>
        <v>12:5</v>
      </c>
      <c r="J12" s="12" t="s">
        <v>7</v>
      </c>
      <c r="K12" s="117">
        <f ca="1">IF(COUNT(F13:J13)=0,"",COUNTIF(F13:J13,"&gt;0")+0.5*COUNTIF(F13:J13,0))</f>
        <v>1</v>
      </c>
      <c r="L12" s="16"/>
      <c r="M12" s="118">
        <v>3</v>
      </c>
    </row>
    <row r="13" spans="2:14" ht="24" customHeight="1" thickBot="1">
      <c r="B13" s="90"/>
      <c r="C13" s="91"/>
      <c r="D13" s="92"/>
      <c r="E13" s="93"/>
      <c r="F13" s="19">
        <f ca="1">IF(LEN(INDIRECT(ADDRESS(ROW()-1, COLUMN())))=1,"",INDIRECT(ADDRESS(35,6))-INDIRECT(ADDRESS(35,7)))</f>
        <v>-6</v>
      </c>
      <c r="G13" s="18">
        <f ca="1">IF(LEN(INDIRECT(ADDRESS(ROW()-1, COLUMN())))=1,"",INDIRECT(ADDRESS(18,7))-INDIRECT(ADDRESS(18,6)))</f>
        <v>-10</v>
      </c>
      <c r="H13" s="18">
        <f ca="1">IF(LEN(INDIRECT(ADDRESS(ROW()-1, COLUMN())))=1,"",INDIRECT(ADDRESS(22,6))-INDIRECT(ADDRESS(22,7)))</f>
        <v>-6</v>
      </c>
      <c r="I13" s="18">
        <f ca="1">IF(LEN(INDIRECT(ADDRESS(ROW()-1, COLUMN())))=1,"",INDIRECT(ADDRESS(27,7))-INDIRECT(ADDRESS(27,6)))</f>
        <v>7</v>
      </c>
      <c r="J13" s="15" t="s">
        <v>7</v>
      </c>
      <c r="K13" s="119"/>
      <c r="L13" s="18">
        <f ca="1">IF(COUNT(F13:J13)=0,"",SUM(F13:J13))</f>
        <v>-15</v>
      </c>
      <c r="M13" s="120"/>
    </row>
    <row r="14" spans="2:14">
      <c r="M14"/>
    </row>
    <row r="15" spans="2:14">
      <c r="M15"/>
    </row>
    <row r="16" spans="2:14">
      <c r="M16"/>
    </row>
    <row r="17" spans="1:13" s="40" customFormat="1" ht="30" customHeight="1" thickBot="1">
      <c r="A17" s="39"/>
      <c r="B17" s="83" t="s">
        <v>4</v>
      </c>
      <c r="C17" s="83"/>
      <c r="D17" s="83"/>
      <c r="E17" s="83"/>
      <c r="F17" s="83"/>
      <c r="G17" s="83"/>
      <c r="H17" s="83"/>
      <c r="I17" s="83"/>
      <c r="J17" s="83"/>
      <c r="K17" s="83"/>
      <c r="M17" s="47"/>
    </row>
    <row r="18" spans="1:13" s="40" customFormat="1" ht="30" customHeight="1" thickBot="1">
      <c r="A18" s="39"/>
      <c r="B18" s="45">
        <v>2</v>
      </c>
      <c r="C18" s="80" t="str">
        <f ca="1">IF(ISBLANK(INDIRECT(ADDRESS(B18*2+2,3))),"",INDIRECT(ADDRESS(B18*2+2,3)))</f>
        <v>Ерёмин, Нечаев</v>
      </c>
      <c r="D18" s="80"/>
      <c r="E18" s="81"/>
      <c r="F18" s="41">
        <v>13</v>
      </c>
      <c r="G18" s="42">
        <v>3</v>
      </c>
      <c r="H18" s="82" t="str">
        <f ca="1">IF(ISBLANK(INDIRECT(ADDRESS(K18*2+2,3))),"",INDIRECT(ADDRESS(K18*2+2,3)))</f>
        <v>Дуплякин, Попов</v>
      </c>
      <c r="I18" s="80"/>
      <c r="J18" s="80"/>
      <c r="K18" s="45">
        <v>5</v>
      </c>
      <c r="L18" s="43" t="s">
        <v>11</v>
      </c>
      <c r="M18" s="38"/>
    </row>
    <row r="19" spans="1:13" s="40" customFormat="1" ht="30" customHeight="1" thickBot="1">
      <c r="A19" s="39"/>
      <c r="B19" s="45">
        <v>3</v>
      </c>
      <c r="C19" s="80" t="str">
        <f ca="1">IF(ISBLANK(INDIRECT(ADDRESS(B19*2+2,3))),"",INDIRECT(ADDRESS(B19*2+2,3)))</f>
        <v>Курков, Матвеенко</v>
      </c>
      <c r="D19" s="80"/>
      <c r="E19" s="81"/>
      <c r="F19" s="41">
        <v>13</v>
      </c>
      <c r="G19" s="42">
        <v>0</v>
      </c>
      <c r="H19" s="127" t="str">
        <f ca="1">IF(ISBLANK(INDIRECT(ADDRESS(K19*2+2,3))),"",INDIRECT(ADDRESS(K19*2+2,3)))</f>
        <v>Щербак Роман, Щербак Родион</v>
      </c>
      <c r="I19" s="128"/>
      <c r="J19" s="128"/>
      <c r="K19" s="45">
        <v>4</v>
      </c>
      <c r="L19" s="43" t="s">
        <v>11</v>
      </c>
      <c r="M19" s="38"/>
    </row>
    <row r="20" spans="1:13" s="40" customFormat="1" ht="30" customHeight="1">
      <c r="A20" s="39"/>
      <c r="M20" s="46"/>
    </row>
    <row r="21" spans="1:13" s="40" customFormat="1" ht="30" customHeight="1" thickBot="1">
      <c r="A21" s="39"/>
      <c r="B21" s="83" t="s">
        <v>5</v>
      </c>
      <c r="C21" s="83"/>
      <c r="D21" s="83"/>
      <c r="E21" s="83"/>
      <c r="F21" s="83"/>
      <c r="G21" s="83"/>
      <c r="H21" s="83"/>
      <c r="I21" s="83"/>
      <c r="J21" s="83"/>
      <c r="K21" s="83"/>
      <c r="M21" s="46"/>
    </row>
    <row r="22" spans="1:13" s="40" customFormat="1" ht="30" customHeight="1" thickBot="1">
      <c r="A22" s="39"/>
      <c r="B22" s="45">
        <v>5</v>
      </c>
      <c r="C22" s="80" t="str">
        <f ca="1">IF(ISBLANK(INDIRECT(ADDRESS(B22*2+2,3))),"",INDIRECT(ADDRESS(B22*2+2,3)))</f>
        <v>Дуплякин, Попов</v>
      </c>
      <c r="D22" s="80"/>
      <c r="E22" s="81"/>
      <c r="F22" s="41">
        <v>3</v>
      </c>
      <c r="G22" s="42">
        <v>9</v>
      </c>
      <c r="H22" s="82" t="str">
        <f ca="1">IF(ISBLANK(INDIRECT(ADDRESS(K22*2+2,3))),"",INDIRECT(ADDRESS(K22*2+2,3)))</f>
        <v>Курков, Матвеенко</v>
      </c>
      <c r="I22" s="80"/>
      <c r="J22" s="80"/>
      <c r="K22" s="45">
        <v>3</v>
      </c>
      <c r="L22" s="43" t="s">
        <v>11</v>
      </c>
      <c r="M22" s="38"/>
    </row>
    <row r="23" spans="1:13" s="40" customFormat="1" ht="30" customHeight="1" thickBot="1">
      <c r="A23" s="39"/>
      <c r="B23" s="45">
        <v>1</v>
      </c>
      <c r="C23" s="125" t="str">
        <f ca="1">IF(ISBLANK(INDIRECT(ADDRESS(B23*2+2,3))),"",INDIRECT(ADDRESS(B23*2+2,3)))</f>
        <v>Капран-Индаяти, Шубин</v>
      </c>
      <c r="D23" s="125"/>
      <c r="E23" s="126"/>
      <c r="F23" s="41">
        <v>8</v>
      </c>
      <c r="G23" s="42">
        <v>10</v>
      </c>
      <c r="H23" s="82" t="str">
        <f ca="1">IF(ISBLANK(INDIRECT(ADDRESS(K23*2+2,3))),"",INDIRECT(ADDRESS(K23*2+2,3)))</f>
        <v>Ерёмин, Нечаев</v>
      </c>
      <c r="I23" s="80"/>
      <c r="J23" s="80"/>
      <c r="K23" s="45">
        <v>2</v>
      </c>
      <c r="L23" s="43" t="s">
        <v>11</v>
      </c>
      <c r="M23" s="38"/>
    </row>
    <row r="24" spans="1:13" s="40" customFormat="1" ht="30" customHeight="1">
      <c r="A24" s="39"/>
      <c r="M24" s="46"/>
    </row>
    <row r="25" spans="1:13" s="40" customFormat="1" ht="30" customHeight="1" thickBot="1">
      <c r="A25" s="39"/>
      <c r="B25" s="83" t="s">
        <v>6</v>
      </c>
      <c r="C25" s="83"/>
      <c r="D25" s="83"/>
      <c r="E25" s="83"/>
      <c r="F25" s="83"/>
      <c r="G25" s="83"/>
      <c r="H25" s="83"/>
      <c r="I25" s="83"/>
      <c r="J25" s="83"/>
      <c r="K25" s="83"/>
      <c r="M25" s="46"/>
    </row>
    <row r="26" spans="1:13" s="40" customFormat="1" ht="30" customHeight="1" thickBot="1">
      <c r="A26" s="39"/>
      <c r="B26" s="45">
        <v>3</v>
      </c>
      <c r="C26" s="80" t="str">
        <f ca="1">IF(ISBLANK(INDIRECT(ADDRESS(B26*2+2,3))),"",INDIRECT(ADDRESS(B26*2+2,3)))</f>
        <v>Курков, Матвеенко</v>
      </c>
      <c r="D26" s="80"/>
      <c r="E26" s="81"/>
      <c r="F26" s="41">
        <v>12</v>
      </c>
      <c r="G26" s="42">
        <v>5</v>
      </c>
      <c r="H26" s="124" t="str">
        <f ca="1">IF(ISBLANK(INDIRECT(ADDRESS(K26*2+2,3))),"",INDIRECT(ADDRESS(K26*2+2,3)))</f>
        <v>Капран-Индаяти, Шубин</v>
      </c>
      <c r="I26" s="125"/>
      <c r="J26" s="125"/>
      <c r="K26" s="45">
        <v>1</v>
      </c>
      <c r="L26" s="43" t="s">
        <v>11</v>
      </c>
      <c r="M26" s="38"/>
    </row>
    <row r="27" spans="1:13" s="40" customFormat="1" ht="30" customHeight="1" thickBot="1">
      <c r="A27" s="39"/>
      <c r="B27" s="45">
        <v>4</v>
      </c>
      <c r="C27" s="128" t="str">
        <f ca="1">IF(ISBLANK(INDIRECT(ADDRESS(B27*2+2,3))),"",INDIRECT(ADDRESS(B27*2+2,3)))</f>
        <v>Щербак Роман, Щербак Родион</v>
      </c>
      <c r="D27" s="128"/>
      <c r="E27" s="129"/>
      <c r="F27" s="41">
        <v>5</v>
      </c>
      <c r="G27" s="42">
        <v>12</v>
      </c>
      <c r="H27" s="82" t="str">
        <f ca="1">IF(ISBLANK(INDIRECT(ADDRESS(K27*2+2,3))),"",INDIRECT(ADDRESS(K27*2+2,3)))</f>
        <v>Дуплякин, Попов</v>
      </c>
      <c r="I27" s="80"/>
      <c r="J27" s="80"/>
      <c r="K27" s="45">
        <v>5</v>
      </c>
      <c r="L27" s="43" t="s">
        <v>11</v>
      </c>
      <c r="M27" s="38"/>
    </row>
    <row r="28" spans="1:13" s="40" customFormat="1" ht="30" customHeight="1">
      <c r="A28" s="39"/>
      <c r="M28" s="46"/>
    </row>
    <row r="29" spans="1:13" s="40" customFormat="1" ht="30" customHeight="1" thickBot="1">
      <c r="A29" s="39"/>
      <c r="B29" s="83" t="s">
        <v>8</v>
      </c>
      <c r="C29" s="83"/>
      <c r="D29" s="83"/>
      <c r="E29" s="83"/>
      <c r="F29" s="83"/>
      <c r="G29" s="83"/>
      <c r="H29" s="83"/>
      <c r="I29" s="83"/>
      <c r="J29" s="83"/>
      <c r="K29" s="83"/>
      <c r="M29" s="46"/>
    </row>
    <row r="30" spans="1:13" s="40" customFormat="1" ht="30" customHeight="1" thickBot="1">
      <c r="A30" s="39"/>
      <c r="B30" s="45">
        <v>1</v>
      </c>
      <c r="C30" s="125" t="str">
        <f ca="1">IF(ISBLANK(INDIRECT(ADDRESS(B30*2+2,3))),"",INDIRECT(ADDRESS(B30*2+2,3)))</f>
        <v>Капран-Индаяти, Шубин</v>
      </c>
      <c r="D30" s="125"/>
      <c r="E30" s="126"/>
      <c r="F30" s="41">
        <v>13</v>
      </c>
      <c r="G30" s="42">
        <v>1</v>
      </c>
      <c r="H30" s="127" t="str">
        <f ca="1">IF(ISBLANK(INDIRECT(ADDRESS(K30*2+2,3))),"",INDIRECT(ADDRESS(K30*2+2,3)))</f>
        <v>Щербак Роман, Щербак Родион</v>
      </c>
      <c r="I30" s="128"/>
      <c r="J30" s="128"/>
      <c r="K30" s="45">
        <v>4</v>
      </c>
      <c r="L30" s="43" t="s">
        <v>11</v>
      </c>
      <c r="M30" s="38"/>
    </row>
    <row r="31" spans="1:13" s="40" customFormat="1" ht="30" customHeight="1" thickBot="1">
      <c r="A31" s="39"/>
      <c r="B31" s="45">
        <v>2</v>
      </c>
      <c r="C31" s="80" t="str">
        <f ca="1">IF(ISBLANK(INDIRECT(ADDRESS(B31*2+2,3))),"",INDIRECT(ADDRESS(B31*2+2,3)))</f>
        <v>Ерёмин, Нечаев</v>
      </c>
      <c r="D31" s="80"/>
      <c r="E31" s="81"/>
      <c r="F31" s="41">
        <v>9</v>
      </c>
      <c r="G31" s="42">
        <v>6</v>
      </c>
      <c r="H31" s="82" t="str">
        <f ca="1">IF(ISBLANK(INDIRECT(ADDRESS(K31*2+2,3))),"",INDIRECT(ADDRESS(K31*2+2,3)))</f>
        <v>Курков, Матвеенко</v>
      </c>
      <c r="I31" s="80"/>
      <c r="J31" s="80"/>
      <c r="K31" s="45">
        <v>3</v>
      </c>
      <c r="L31" s="43" t="s">
        <v>11</v>
      </c>
      <c r="M31" s="38"/>
    </row>
    <row r="32" spans="1:13" s="40" customFormat="1" ht="30" customHeight="1">
      <c r="A32" s="39"/>
      <c r="M32" s="46"/>
    </row>
    <row r="33" spans="1:13" s="40" customFormat="1" ht="30" customHeight="1" thickBot="1">
      <c r="A33" s="39"/>
      <c r="B33" s="83" t="s">
        <v>9</v>
      </c>
      <c r="C33" s="83"/>
      <c r="D33" s="83"/>
      <c r="E33" s="83"/>
      <c r="F33" s="83"/>
      <c r="G33" s="83"/>
      <c r="H33" s="83"/>
      <c r="I33" s="83"/>
      <c r="J33" s="83"/>
      <c r="K33" s="83"/>
      <c r="M33" s="46"/>
    </row>
    <row r="34" spans="1:13" s="40" customFormat="1" ht="30" customHeight="1" thickBot="1">
      <c r="A34" s="39"/>
      <c r="B34" s="45">
        <v>4</v>
      </c>
      <c r="C34" s="128" t="str">
        <f ca="1">IF(ISBLANK(INDIRECT(ADDRESS(B34*2+2,3))),"",INDIRECT(ADDRESS(B34*2+2,3)))</f>
        <v>Щербак Роман, Щербак Родион</v>
      </c>
      <c r="D34" s="128"/>
      <c r="E34" s="129"/>
      <c r="F34" s="41">
        <v>1</v>
      </c>
      <c r="G34" s="42">
        <v>13</v>
      </c>
      <c r="H34" s="82" t="str">
        <f ca="1">IF(ISBLANK(INDIRECT(ADDRESS(K34*2+2,3))),"",INDIRECT(ADDRESS(K34*2+2,3)))</f>
        <v>Ерёмин, Нечаев</v>
      </c>
      <c r="I34" s="80"/>
      <c r="J34" s="80"/>
      <c r="K34" s="45">
        <v>2</v>
      </c>
      <c r="L34" s="43" t="s">
        <v>11</v>
      </c>
      <c r="M34" s="38"/>
    </row>
    <row r="35" spans="1:13" s="40" customFormat="1" ht="30" customHeight="1" thickBot="1">
      <c r="A35" s="39"/>
      <c r="B35" s="45">
        <v>5</v>
      </c>
      <c r="C35" s="80" t="str">
        <f ca="1">IF(ISBLANK(INDIRECT(ADDRESS(B35*2+2,3))),"",INDIRECT(ADDRESS(B35*2+2,3)))</f>
        <v>Дуплякин, Попов</v>
      </c>
      <c r="D35" s="80"/>
      <c r="E35" s="81"/>
      <c r="F35" s="41">
        <v>7</v>
      </c>
      <c r="G35" s="42">
        <v>13</v>
      </c>
      <c r="H35" s="124" t="str">
        <f ca="1">IF(ISBLANK(INDIRECT(ADDRESS(K35*2+2,3))),"",INDIRECT(ADDRESS(K35*2+2,3)))</f>
        <v>Капран-Индаяти, Шубин</v>
      </c>
      <c r="I35" s="125"/>
      <c r="J35" s="125"/>
      <c r="K35" s="45">
        <v>1</v>
      </c>
      <c r="L35" s="43" t="s">
        <v>11</v>
      </c>
      <c r="M35" s="38"/>
    </row>
    <row r="38" spans="1:13" ht="21">
      <c r="B38" s="59" t="s">
        <v>103</v>
      </c>
      <c r="C38" s="59"/>
      <c r="D38" s="59"/>
      <c r="E38" s="59"/>
      <c r="F38" s="59"/>
      <c r="G38" s="59"/>
      <c r="H38" s="40"/>
    </row>
    <row r="39" spans="1:13" ht="21">
      <c r="B39" s="59"/>
      <c r="C39" s="59"/>
      <c r="D39" s="59"/>
      <c r="E39" s="59"/>
      <c r="F39" s="59"/>
      <c r="G39" s="59"/>
      <c r="H39" s="40"/>
    </row>
    <row r="40" spans="1:13" ht="21">
      <c r="B40" s="59"/>
      <c r="C40" s="59"/>
      <c r="D40" s="59"/>
      <c r="E40" s="59"/>
      <c r="F40" s="59"/>
      <c r="G40" s="59"/>
      <c r="H40" s="40"/>
    </row>
    <row r="41" spans="1:13" ht="21">
      <c r="B41" s="59" t="s">
        <v>104</v>
      </c>
      <c r="C41" s="59"/>
      <c r="D41" s="59"/>
      <c r="E41" s="59"/>
      <c r="F41" s="59"/>
      <c r="G41" s="59"/>
      <c r="H41" s="40"/>
    </row>
  </sheetData>
  <sheetCalcPr fullCalcOnLoad="1"/>
  <mergeCells count="47">
    <mergeCell ref="B1:M1"/>
    <mergeCell ref="M6:M7"/>
    <mergeCell ref="C3:E3"/>
    <mergeCell ref="B4:B5"/>
    <mergeCell ref="C4:E5"/>
    <mergeCell ref="K4:K5"/>
    <mergeCell ref="M4:M5"/>
    <mergeCell ref="B6:B7"/>
    <mergeCell ref="C6:E7"/>
    <mergeCell ref="K6:K7"/>
    <mergeCell ref="M8:M9"/>
    <mergeCell ref="B10:B11"/>
    <mergeCell ref="C10:E11"/>
    <mergeCell ref="K10:K11"/>
    <mergeCell ref="M10:M11"/>
    <mergeCell ref="B8:B9"/>
    <mergeCell ref="C8:E9"/>
    <mergeCell ref="K8:K9"/>
    <mergeCell ref="M12:M13"/>
    <mergeCell ref="B17:K17"/>
    <mergeCell ref="H22:J22"/>
    <mergeCell ref="C23:E23"/>
    <mergeCell ref="H23:J23"/>
    <mergeCell ref="H18:J18"/>
    <mergeCell ref="C18:E18"/>
    <mergeCell ref="B21:K21"/>
    <mergeCell ref="H19:J19"/>
    <mergeCell ref="B12:B13"/>
    <mergeCell ref="C27:E27"/>
    <mergeCell ref="H27:J27"/>
    <mergeCell ref="B29:K29"/>
    <mergeCell ref="C12:E13"/>
    <mergeCell ref="K12:K13"/>
    <mergeCell ref="C22:E22"/>
    <mergeCell ref="C19:E19"/>
    <mergeCell ref="B25:K25"/>
    <mergeCell ref="C26:E26"/>
    <mergeCell ref="H26:J26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honeticPr fontId="10" type="noConversion"/>
  <printOptions horizontalCentered="1"/>
  <pageMargins left="0.25" right="0.25" top="0.75" bottom="0.75" header="0.3" footer="0.3"/>
  <pageSetup paperSize="9" scale="7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30"/>
  <sheetViews>
    <sheetView topLeftCell="A7"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80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68</v>
      </c>
      <c r="C4" s="111"/>
      <c r="D4" s="25">
        <v>9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Лукин, Коржов</v>
      </c>
      <c r="G6" s="111"/>
      <c r="H6" s="25">
        <v>5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77</v>
      </c>
      <c r="C8" s="111"/>
      <c r="D8" s="25">
        <v>5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Ерёмин, Нечаев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69</v>
      </c>
      <c r="C12" s="111"/>
      <c r="D12" s="25">
        <v>8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Ерёмин, Нечаев</v>
      </c>
      <c r="G14" s="111"/>
      <c r="H14" s="25">
        <v>13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76</v>
      </c>
      <c r="C16" s="111"/>
      <c r="D16" s="25">
        <v>9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Курков, Матвеенко</v>
      </c>
      <c r="C20" s="111"/>
      <c r="D20" s="25">
        <v>7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Галеев, Борисенко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Галеев, Борисенко</v>
      </c>
      <c r="C24" s="111"/>
      <c r="D24" s="25">
        <v>13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F6:G6"/>
    <mergeCell ref="B8:C8"/>
    <mergeCell ref="B1:N1"/>
    <mergeCell ref="J10:K10"/>
    <mergeCell ref="F22:G22"/>
    <mergeCell ref="B24:C24"/>
    <mergeCell ref="B20:C20"/>
    <mergeCell ref="F20:G20"/>
    <mergeCell ref="B16:C16"/>
    <mergeCell ref="B12:C12"/>
    <mergeCell ref="F14:G14"/>
    <mergeCell ref="B4:C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81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72</v>
      </c>
      <c r="C4" s="111"/>
      <c r="D4" s="25">
        <v>7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Дуплякин, Попов</v>
      </c>
      <c r="G6" s="111"/>
      <c r="H6" s="25">
        <v>0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79</v>
      </c>
      <c r="C8" s="111"/>
      <c r="D8" s="25">
        <v>12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Капран-Индаяти, Шубин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70</v>
      </c>
      <c r="C12" s="111"/>
      <c r="D12" s="25">
        <v>6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Капран-Индаяти, Шубин</v>
      </c>
      <c r="G14" s="111"/>
      <c r="H14" s="25">
        <v>13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75</v>
      </c>
      <c r="C16" s="111"/>
      <c r="D16" s="25">
        <v>12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Шевченко, Щербак Д.</v>
      </c>
      <c r="C20" s="111"/>
      <c r="D20" s="25">
        <v>3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Клименко, Корниенко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Клименко, Корниенко</v>
      </c>
      <c r="C24" s="111"/>
      <c r="D24" s="25">
        <v>13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J10:K10"/>
    <mergeCell ref="B4:C4"/>
    <mergeCell ref="F6:G6"/>
    <mergeCell ref="B8:C8"/>
    <mergeCell ref="B1:N1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selection activeCell="B18" sqref="B18:H21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84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30"/>
      <c r="C4" s="130"/>
      <c r="D4" s="37"/>
      <c r="E4" s="32"/>
    </row>
    <row r="5" spans="2:14" ht="15" customHeight="1">
      <c r="B5" s="32"/>
      <c r="C5" s="78"/>
      <c r="D5" s="32"/>
      <c r="E5" s="32"/>
    </row>
    <row r="6" spans="2:14" ht="15" customHeight="1">
      <c r="B6" s="79"/>
      <c r="C6" s="78"/>
      <c r="D6" s="32"/>
      <c r="E6" s="32"/>
      <c r="F6" s="110" t="s">
        <v>82</v>
      </c>
      <c r="G6" s="111"/>
      <c r="H6" s="25">
        <v>12</v>
      </c>
      <c r="I6" s="28"/>
    </row>
    <row r="7" spans="2:14" ht="15" customHeight="1">
      <c r="B7" s="32"/>
      <c r="C7" s="78"/>
      <c r="D7" s="32"/>
      <c r="E7" s="32"/>
      <c r="I7" s="29"/>
    </row>
    <row r="8" spans="2:14" ht="15" customHeight="1">
      <c r="B8" s="130"/>
      <c r="C8" s="130"/>
      <c r="D8" s="37"/>
      <c r="E8" s="32"/>
      <c r="I8" s="30"/>
    </row>
    <row r="9" spans="2:14" ht="15" customHeight="1">
      <c r="B9" s="32"/>
      <c r="C9" s="78"/>
      <c r="D9" s="32"/>
      <c r="E9" s="32"/>
      <c r="I9" s="30"/>
    </row>
    <row r="10" spans="2:14" ht="15" customHeight="1">
      <c r="B10" s="32"/>
      <c r="C10" s="78"/>
      <c r="D10" s="32"/>
      <c r="E10" s="32"/>
      <c r="G10" s="33" t="s">
        <v>11</v>
      </c>
      <c r="H10" s="34"/>
      <c r="I10" s="30"/>
      <c r="J10" s="109" t="str">
        <f>IF(ISBLANK(H6),"",IF(H6&gt;H14,F6,F14))</f>
        <v>Щербак Р., Щербак Р.</v>
      </c>
      <c r="K10" s="110"/>
      <c r="L10" s="37"/>
      <c r="M10" s="32"/>
    </row>
    <row r="11" spans="2:14" ht="15" customHeight="1">
      <c r="B11" s="32"/>
      <c r="C11" s="78"/>
      <c r="D11" s="32"/>
      <c r="E11" s="32"/>
      <c r="I11" s="30"/>
      <c r="M11" s="32"/>
    </row>
    <row r="12" spans="2:14" ht="15" customHeight="1">
      <c r="B12" s="130"/>
      <c r="C12" s="130"/>
      <c r="D12" s="37"/>
      <c r="E12" s="32"/>
      <c r="I12" s="30"/>
      <c r="M12" s="32"/>
    </row>
    <row r="13" spans="2:14" ht="15" customHeight="1">
      <c r="B13" s="32"/>
      <c r="C13" s="78"/>
      <c r="D13" s="32"/>
      <c r="E13" s="32"/>
      <c r="I13" s="30"/>
      <c r="M13" s="32"/>
    </row>
    <row r="14" spans="2:14" ht="15" customHeight="1">
      <c r="B14" s="79"/>
      <c r="C14" s="78"/>
      <c r="D14" s="32"/>
      <c r="E14" s="32"/>
      <c r="F14" s="110" t="s">
        <v>83</v>
      </c>
      <c r="G14" s="111"/>
      <c r="H14" s="25">
        <v>11</v>
      </c>
      <c r="I14" s="31"/>
      <c r="M14" s="32"/>
    </row>
    <row r="15" spans="2:14" ht="15" customHeight="1">
      <c r="B15" s="32"/>
      <c r="C15" s="32"/>
      <c r="D15" s="32"/>
      <c r="E15" s="32"/>
      <c r="M15" s="32"/>
    </row>
    <row r="16" spans="2:14" ht="15" customHeight="1">
      <c r="B16" s="130"/>
      <c r="C16" s="130"/>
      <c r="D16" s="37"/>
      <c r="E16" s="32"/>
      <c r="M16" s="32"/>
    </row>
    <row r="17" spans="2:13" ht="15" customHeight="1">
      <c r="B17" s="32"/>
      <c r="C17" s="32"/>
      <c r="D17" s="32"/>
      <c r="E17" s="32"/>
      <c r="M17" s="32"/>
    </row>
    <row r="18" spans="2:13" ht="15" customHeight="1">
      <c r="B18" s="59" t="s">
        <v>103</v>
      </c>
      <c r="C18" s="59"/>
      <c r="D18" s="59"/>
      <c r="E18" s="59"/>
      <c r="F18" s="59"/>
      <c r="G18" s="59"/>
      <c r="H18" s="40"/>
    </row>
    <row r="19" spans="2:13" ht="15" customHeight="1">
      <c r="B19" s="59"/>
      <c r="C19" s="59"/>
      <c r="D19" s="59"/>
      <c r="E19" s="59"/>
      <c r="F19" s="59"/>
      <c r="G19" s="59"/>
      <c r="H19" s="40"/>
    </row>
    <row r="20" spans="2:13" ht="15" customHeight="1">
      <c r="B20" s="59"/>
      <c r="C20" s="59"/>
      <c r="D20" s="59"/>
      <c r="E20" s="59"/>
      <c r="F20" s="59"/>
      <c r="G20" s="59"/>
      <c r="H20" s="40"/>
    </row>
    <row r="21" spans="2:13" ht="15" customHeight="1">
      <c r="B21" s="59" t="s">
        <v>104</v>
      </c>
      <c r="C21" s="59"/>
      <c r="D21" s="59"/>
      <c r="E21" s="59"/>
      <c r="F21" s="59"/>
      <c r="G21" s="59"/>
      <c r="H21" s="40"/>
    </row>
    <row r="22" spans="2:13" ht="15" customHeight="1">
      <c r="B22" s="32"/>
      <c r="C22" s="79"/>
      <c r="D22" s="32"/>
      <c r="E22" s="32"/>
      <c r="F22" s="130" t="str">
        <f>IF(ISBLANK(D20),"",IF(D20&gt;D24,B20,B24))</f>
        <v/>
      </c>
      <c r="G22" s="130"/>
      <c r="H22" s="32"/>
    </row>
    <row r="23" spans="2:13" ht="15" customHeight="1">
      <c r="B23" s="32"/>
      <c r="C23" s="32"/>
      <c r="D23" s="32"/>
      <c r="E23" s="32"/>
      <c r="F23" s="32"/>
      <c r="G23" s="32"/>
      <c r="H23" s="32"/>
    </row>
    <row r="24" spans="2:13" ht="15" customHeight="1">
      <c r="B24" s="130"/>
      <c r="C24" s="130"/>
      <c r="D24" s="37"/>
      <c r="E24" s="32"/>
    </row>
  </sheetData>
  <mergeCells count="10">
    <mergeCell ref="B1:N1"/>
    <mergeCell ref="J10:K10"/>
    <mergeCell ref="F22:G22"/>
    <mergeCell ref="B24:C24"/>
    <mergeCell ref="B16:C16"/>
    <mergeCell ref="B12:C12"/>
    <mergeCell ref="F14:G14"/>
    <mergeCell ref="B4:C4"/>
    <mergeCell ref="F6:G6"/>
    <mergeCell ref="B8:C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A19" sqref="A19:G22"/>
    </sheetView>
  </sheetViews>
  <sheetFormatPr defaultRowHeight="15"/>
  <cols>
    <col min="2" max="2" width="21.140625" customWidth="1"/>
    <col min="3" max="3" width="22.42578125" customWidth="1"/>
    <col min="4" max="4" width="36.7109375" customWidth="1"/>
  </cols>
  <sheetData>
    <row r="1" spans="1:11" ht="54" customHeight="1">
      <c r="A1" s="131" t="s">
        <v>91</v>
      </c>
      <c r="B1" s="131"/>
      <c r="C1" s="131"/>
      <c r="D1" s="131"/>
      <c r="E1" s="50"/>
      <c r="F1" s="50"/>
      <c r="G1" s="50"/>
      <c r="H1" s="50"/>
      <c r="I1" s="50"/>
      <c r="J1" s="50"/>
      <c r="K1" s="50"/>
    </row>
    <row r="2" spans="1:11" ht="88.5" customHeight="1">
      <c r="A2" s="132" t="s">
        <v>90</v>
      </c>
      <c r="B2" s="132"/>
      <c r="C2" s="132"/>
      <c r="D2" s="132"/>
      <c r="E2" s="51"/>
      <c r="F2" s="51"/>
      <c r="G2" s="52"/>
      <c r="H2" s="52"/>
      <c r="I2" s="52"/>
      <c r="J2" s="52"/>
    </row>
    <row r="3" spans="1:11" ht="15.75" thickBot="1"/>
    <row r="4" spans="1:11">
      <c r="A4" s="53" t="s">
        <v>85</v>
      </c>
      <c r="B4" s="54" t="s">
        <v>86</v>
      </c>
      <c r="C4" s="64" t="s">
        <v>87</v>
      </c>
      <c r="D4" s="67" t="s">
        <v>92</v>
      </c>
    </row>
    <row r="5" spans="1:11">
      <c r="A5" s="55">
        <v>1</v>
      </c>
      <c r="B5" s="56" t="s">
        <v>15</v>
      </c>
      <c r="C5" s="65" t="s">
        <v>88</v>
      </c>
      <c r="D5" s="68">
        <v>20</v>
      </c>
    </row>
    <row r="6" spans="1:11">
      <c r="A6" s="55">
        <v>2</v>
      </c>
      <c r="B6" s="56" t="s">
        <v>14</v>
      </c>
      <c r="C6" s="65" t="s">
        <v>88</v>
      </c>
      <c r="D6" s="68">
        <v>17</v>
      </c>
    </row>
    <row r="7" spans="1:11">
      <c r="A7" s="55">
        <v>3</v>
      </c>
      <c r="B7" s="56" t="s">
        <v>28</v>
      </c>
      <c r="C7" s="65" t="s">
        <v>88</v>
      </c>
      <c r="D7" s="68">
        <v>15</v>
      </c>
    </row>
    <row r="8" spans="1:11">
      <c r="A8" s="55">
        <v>4</v>
      </c>
      <c r="B8" s="56" t="s">
        <v>29</v>
      </c>
      <c r="C8" s="65" t="s">
        <v>89</v>
      </c>
      <c r="D8" s="68">
        <v>14</v>
      </c>
    </row>
    <row r="9" spans="1:11">
      <c r="A9" s="55">
        <v>5</v>
      </c>
      <c r="B9" s="56" t="s">
        <v>18</v>
      </c>
      <c r="C9" s="65" t="s">
        <v>88</v>
      </c>
      <c r="D9" s="68">
        <v>13</v>
      </c>
    </row>
    <row r="10" spans="1:11">
      <c r="A10" s="55">
        <v>6</v>
      </c>
      <c r="B10" s="56" t="s">
        <v>27</v>
      </c>
      <c r="C10" s="65" t="s">
        <v>88</v>
      </c>
      <c r="D10" s="68">
        <v>12</v>
      </c>
    </row>
    <row r="11" spans="1:11">
      <c r="A11" s="55">
        <v>7</v>
      </c>
      <c r="B11" s="56" t="s">
        <v>16</v>
      </c>
      <c r="C11" s="65" t="s">
        <v>88</v>
      </c>
      <c r="D11" s="68">
        <v>11</v>
      </c>
    </row>
    <row r="12" spans="1:11">
      <c r="A12" s="55">
        <v>8</v>
      </c>
      <c r="B12" s="56" t="s">
        <v>30</v>
      </c>
      <c r="C12" s="65" t="s">
        <v>88</v>
      </c>
      <c r="D12" s="68">
        <v>10</v>
      </c>
    </row>
    <row r="13" spans="1:11">
      <c r="A13" s="55">
        <v>9</v>
      </c>
      <c r="B13" s="56" t="s">
        <v>17</v>
      </c>
      <c r="C13" s="65" t="s">
        <v>89</v>
      </c>
      <c r="D13" s="68">
        <v>9</v>
      </c>
    </row>
    <row r="14" spans="1:11">
      <c r="A14" s="55">
        <v>10</v>
      </c>
      <c r="B14" s="56" t="s">
        <v>26</v>
      </c>
      <c r="C14" s="65" t="s">
        <v>93</v>
      </c>
      <c r="D14" s="68">
        <v>8</v>
      </c>
    </row>
    <row r="15" spans="1:11">
      <c r="A15" s="55">
        <v>11</v>
      </c>
      <c r="B15" s="56" t="s">
        <v>31</v>
      </c>
      <c r="C15" s="65" t="s">
        <v>88</v>
      </c>
      <c r="D15" s="68">
        <v>7</v>
      </c>
    </row>
    <row r="16" spans="1:11" ht="15.75" thickBot="1">
      <c r="A16" s="57">
        <v>12</v>
      </c>
      <c r="B16" s="58" t="s">
        <v>19</v>
      </c>
      <c r="C16" s="66" t="s">
        <v>89</v>
      </c>
      <c r="D16" s="69">
        <v>6</v>
      </c>
    </row>
    <row r="17" spans="1:7">
      <c r="A17" s="60"/>
      <c r="B17" s="61"/>
      <c r="C17" s="61"/>
      <c r="D17" s="62"/>
    </row>
    <row r="18" spans="1:7">
      <c r="A18" s="60"/>
      <c r="B18" s="61"/>
      <c r="C18" s="61"/>
      <c r="D18" s="62"/>
    </row>
    <row r="19" spans="1:7" ht="21">
      <c r="A19" s="59" t="s">
        <v>103</v>
      </c>
      <c r="B19" s="59"/>
      <c r="C19" s="59"/>
      <c r="D19" s="59"/>
      <c r="E19" s="59"/>
      <c r="F19" s="59"/>
      <c r="G19" s="40"/>
    </row>
    <row r="20" spans="1:7" ht="21">
      <c r="A20" s="59"/>
      <c r="B20" s="59"/>
      <c r="C20" s="59"/>
      <c r="D20" s="59"/>
      <c r="E20" s="59"/>
      <c r="F20" s="59"/>
      <c r="G20" s="40"/>
    </row>
    <row r="21" spans="1:7" ht="21">
      <c r="A21" s="59"/>
      <c r="B21" s="59"/>
      <c r="C21" s="59"/>
      <c r="D21" s="59"/>
      <c r="E21" s="59"/>
      <c r="F21" s="59"/>
      <c r="G21" s="40"/>
    </row>
    <row r="22" spans="1:7" ht="21">
      <c r="A22" s="59" t="s">
        <v>104</v>
      </c>
      <c r="B22" s="59"/>
      <c r="C22" s="59"/>
      <c r="D22" s="59"/>
      <c r="E22" s="59"/>
      <c r="F22" s="59"/>
      <c r="G22" s="40"/>
    </row>
    <row r="23" spans="1:7" ht="15" customHeight="1">
      <c r="A23" s="59"/>
      <c r="B23" s="59"/>
      <c r="C23" s="59"/>
      <c r="D23" s="59"/>
      <c r="E23" s="59"/>
      <c r="F23" s="59"/>
      <c r="G23" s="40"/>
    </row>
    <row r="24" spans="1:7" ht="15" customHeight="1">
      <c r="A24" s="59"/>
      <c r="B24" s="59"/>
      <c r="C24" s="59"/>
      <c r="D24" s="59"/>
      <c r="E24" s="59"/>
      <c r="F24" s="59"/>
      <c r="G24" s="40"/>
    </row>
    <row r="25" spans="1:7" ht="21">
      <c r="A25" s="59"/>
      <c r="B25" s="59"/>
      <c r="C25" s="59"/>
      <c r="D25" s="59"/>
      <c r="E25" s="59"/>
      <c r="F25" s="59"/>
      <c r="G25" s="40"/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A19" sqref="A19:G22"/>
    </sheetView>
  </sheetViews>
  <sheetFormatPr defaultRowHeight="15"/>
  <cols>
    <col min="2" max="2" width="21.140625" customWidth="1"/>
    <col min="3" max="3" width="22.42578125" customWidth="1"/>
    <col min="4" max="4" width="36.7109375" customWidth="1"/>
  </cols>
  <sheetData>
    <row r="1" spans="1:11" ht="54" customHeight="1">
      <c r="A1" s="131" t="s">
        <v>91</v>
      </c>
      <c r="B1" s="131"/>
      <c r="C1" s="131"/>
      <c r="D1" s="131"/>
      <c r="E1" s="50"/>
      <c r="F1" s="50"/>
      <c r="G1" s="50"/>
      <c r="H1" s="50"/>
      <c r="I1" s="50"/>
      <c r="J1" s="50"/>
      <c r="K1" s="50"/>
    </row>
    <row r="2" spans="1:11" ht="88.5" customHeight="1">
      <c r="A2" s="132" t="s">
        <v>94</v>
      </c>
      <c r="B2" s="132"/>
      <c r="C2" s="132"/>
      <c r="D2" s="132"/>
      <c r="E2" s="51"/>
      <c r="F2" s="51"/>
      <c r="G2" s="52"/>
      <c r="H2" s="52"/>
      <c r="I2" s="52"/>
      <c r="J2" s="52"/>
    </row>
    <row r="3" spans="1:11" ht="15.75" thickBot="1"/>
    <row r="4" spans="1:11">
      <c r="A4" s="53" t="s">
        <v>85</v>
      </c>
      <c r="B4" s="54" t="s">
        <v>86</v>
      </c>
      <c r="C4" s="64" t="s">
        <v>87</v>
      </c>
      <c r="D4" s="67" t="s">
        <v>92</v>
      </c>
    </row>
    <row r="5" spans="1:11">
      <c r="A5" s="55">
        <v>1</v>
      </c>
      <c r="B5" s="56" t="s">
        <v>14</v>
      </c>
      <c r="C5" s="65" t="s">
        <v>88</v>
      </c>
      <c r="D5" s="68">
        <v>20</v>
      </c>
    </row>
    <row r="6" spans="1:11">
      <c r="A6" s="55">
        <v>1</v>
      </c>
      <c r="B6" s="56" t="s">
        <v>27</v>
      </c>
      <c r="C6" s="65" t="s">
        <v>88</v>
      </c>
      <c r="D6" s="68">
        <v>20</v>
      </c>
    </row>
    <row r="7" spans="1:11">
      <c r="A7" s="55">
        <v>2</v>
      </c>
      <c r="B7" s="56" t="s">
        <v>16</v>
      </c>
      <c r="C7" s="65" t="s">
        <v>88</v>
      </c>
      <c r="D7" s="68">
        <v>17</v>
      </c>
    </row>
    <row r="8" spans="1:11">
      <c r="A8" s="55">
        <v>2</v>
      </c>
      <c r="B8" s="56" t="s">
        <v>15</v>
      </c>
      <c r="C8" s="65" t="s">
        <v>88</v>
      </c>
      <c r="D8" s="68">
        <v>17</v>
      </c>
    </row>
    <row r="9" spans="1:11">
      <c r="A9" s="55">
        <v>3</v>
      </c>
      <c r="B9" s="56" t="s">
        <v>26</v>
      </c>
      <c r="C9" s="65" t="s">
        <v>93</v>
      </c>
      <c r="D9" s="68">
        <v>15</v>
      </c>
    </row>
    <row r="10" spans="1:11">
      <c r="A10" s="55">
        <v>3</v>
      </c>
      <c r="B10" s="56" t="s">
        <v>28</v>
      </c>
      <c r="C10" s="65" t="s">
        <v>88</v>
      </c>
      <c r="D10" s="68">
        <v>15</v>
      </c>
    </row>
    <row r="11" spans="1:11">
      <c r="A11" s="55">
        <v>4</v>
      </c>
      <c r="B11" s="56" t="s">
        <v>18</v>
      </c>
      <c r="C11" s="65" t="s">
        <v>88</v>
      </c>
      <c r="D11" s="68">
        <v>14</v>
      </c>
    </row>
    <row r="12" spans="1:11">
      <c r="A12" s="55">
        <v>4</v>
      </c>
      <c r="B12" s="56" t="s">
        <v>31</v>
      </c>
      <c r="C12" s="65" t="s">
        <v>88</v>
      </c>
      <c r="D12" s="68">
        <v>14</v>
      </c>
    </row>
    <row r="13" spans="1:11">
      <c r="A13" s="55">
        <v>5</v>
      </c>
      <c r="B13" s="56" t="s">
        <v>17</v>
      </c>
      <c r="C13" s="65" t="s">
        <v>89</v>
      </c>
      <c r="D13" s="68">
        <v>13</v>
      </c>
    </row>
    <row r="14" spans="1:11">
      <c r="A14" s="55">
        <v>5</v>
      </c>
      <c r="B14" s="56" t="s">
        <v>29</v>
      </c>
      <c r="C14" s="65" t="s">
        <v>89</v>
      </c>
      <c r="D14" s="68">
        <v>13</v>
      </c>
    </row>
    <row r="15" spans="1:11">
      <c r="A15" s="55">
        <v>6</v>
      </c>
      <c r="B15" s="56" t="s">
        <v>30</v>
      </c>
      <c r="C15" s="65" t="s">
        <v>88</v>
      </c>
      <c r="D15" s="68">
        <v>12</v>
      </c>
    </row>
    <row r="16" spans="1:11" ht="15.75" thickBot="1">
      <c r="A16" s="57">
        <v>6</v>
      </c>
      <c r="B16" s="58" t="s">
        <v>19</v>
      </c>
      <c r="C16" s="66" t="s">
        <v>89</v>
      </c>
      <c r="D16" s="69">
        <v>12</v>
      </c>
    </row>
    <row r="17" spans="1:7">
      <c r="A17" s="60"/>
      <c r="B17" s="61"/>
      <c r="C17" s="61"/>
      <c r="D17" s="62"/>
      <c r="E17" s="61"/>
    </row>
    <row r="18" spans="1:7">
      <c r="A18" s="60"/>
      <c r="B18" s="61"/>
      <c r="C18" s="61"/>
      <c r="D18" s="62"/>
      <c r="E18" s="61"/>
    </row>
    <row r="19" spans="1:7" ht="21">
      <c r="A19" s="59" t="s">
        <v>103</v>
      </c>
      <c r="B19" s="59"/>
      <c r="C19" s="59"/>
      <c r="D19" s="59"/>
      <c r="E19" s="59"/>
      <c r="F19" s="59"/>
      <c r="G19" s="40"/>
    </row>
    <row r="20" spans="1:7" ht="21">
      <c r="A20" s="59"/>
      <c r="B20" s="59"/>
      <c r="C20" s="59"/>
      <c r="D20" s="59"/>
      <c r="E20" s="59"/>
      <c r="F20" s="59"/>
      <c r="G20" s="40"/>
    </row>
    <row r="21" spans="1:7" ht="21">
      <c r="A21" s="59"/>
      <c r="B21" s="59"/>
      <c r="C21" s="59"/>
      <c r="D21" s="59"/>
      <c r="E21" s="59"/>
      <c r="F21" s="59"/>
      <c r="G21" s="40"/>
    </row>
    <row r="22" spans="1:7" ht="21">
      <c r="A22" s="59" t="s">
        <v>104</v>
      </c>
      <c r="B22" s="59"/>
      <c r="C22" s="59"/>
      <c r="D22" s="59"/>
      <c r="E22" s="59"/>
      <c r="F22" s="59"/>
      <c r="G22" s="40"/>
    </row>
    <row r="23" spans="1:7" ht="15" customHeight="1">
      <c r="A23" s="63"/>
      <c r="B23" s="63"/>
      <c r="C23" s="63"/>
      <c r="D23" s="63"/>
      <c r="E23" s="63"/>
      <c r="F23" s="59"/>
      <c r="G23" s="40"/>
    </row>
    <row r="24" spans="1:7" ht="15" customHeight="1">
      <c r="A24" s="63"/>
      <c r="B24" s="63"/>
      <c r="C24" s="63"/>
      <c r="D24" s="63"/>
      <c r="E24" s="63"/>
      <c r="F24" s="59"/>
      <c r="G24" s="40"/>
    </row>
    <row r="25" spans="1:7" ht="21">
      <c r="A25" s="63"/>
      <c r="B25" s="63"/>
      <c r="C25" s="63"/>
      <c r="D25" s="63"/>
      <c r="E25" s="59"/>
      <c r="F25" s="59"/>
      <c r="G25" s="40"/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6"/>
  <sheetViews>
    <sheetView zoomScaleNormal="100" workbookViewId="0">
      <selection activeCell="A23" sqref="A23:G26"/>
    </sheetView>
  </sheetViews>
  <sheetFormatPr defaultRowHeight="15"/>
  <cols>
    <col min="2" max="2" width="21.140625" customWidth="1"/>
    <col min="3" max="3" width="22.42578125" customWidth="1"/>
    <col min="4" max="4" width="36.7109375" customWidth="1"/>
  </cols>
  <sheetData>
    <row r="1" spans="1:11" ht="54" customHeight="1">
      <c r="A1" s="131" t="s">
        <v>91</v>
      </c>
      <c r="B1" s="131"/>
      <c r="C1" s="131"/>
      <c r="D1" s="131"/>
      <c r="E1" s="50"/>
      <c r="F1" s="50"/>
      <c r="G1" s="50"/>
      <c r="H1" s="50"/>
      <c r="I1" s="50"/>
      <c r="J1" s="50"/>
      <c r="K1" s="50"/>
    </row>
    <row r="2" spans="1:11" ht="88.5" customHeight="1">
      <c r="A2" s="132" t="s">
        <v>95</v>
      </c>
      <c r="B2" s="132"/>
      <c r="C2" s="132"/>
      <c r="D2" s="132"/>
      <c r="E2" s="51"/>
      <c r="F2" s="51"/>
      <c r="G2" s="52"/>
      <c r="H2" s="52"/>
      <c r="I2" s="52"/>
      <c r="J2" s="52"/>
    </row>
    <row r="3" spans="1:11" ht="15.75" thickBot="1"/>
    <row r="4" spans="1:11">
      <c r="A4" s="53" t="s">
        <v>85</v>
      </c>
      <c r="B4" s="54" t="s">
        <v>86</v>
      </c>
      <c r="C4" s="64" t="s">
        <v>87</v>
      </c>
      <c r="D4" s="67" t="s">
        <v>92</v>
      </c>
    </row>
    <row r="5" spans="1:11">
      <c r="A5" s="55">
        <v>1</v>
      </c>
      <c r="B5" s="56" t="s">
        <v>53</v>
      </c>
      <c r="C5" s="65" t="s">
        <v>88</v>
      </c>
      <c r="D5" s="68">
        <v>20</v>
      </c>
    </row>
    <row r="6" spans="1:11">
      <c r="A6" s="55">
        <v>2</v>
      </c>
      <c r="B6" s="70" t="s">
        <v>43</v>
      </c>
      <c r="C6" s="65" t="s">
        <v>89</v>
      </c>
      <c r="D6" s="68">
        <v>17</v>
      </c>
    </row>
    <row r="7" spans="1:11">
      <c r="A7" s="55">
        <v>3</v>
      </c>
      <c r="B7" s="56" t="s">
        <v>60</v>
      </c>
      <c r="C7" s="65" t="s">
        <v>89</v>
      </c>
      <c r="D7" s="68">
        <v>15</v>
      </c>
    </row>
    <row r="8" spans="1:11">
      <c r="A8" s="55">
        <v>4</v>
      </c>
      <c r="B8" s="56" t="s">
        <v>54</v>
      </c>
      <c r="C8" s="65" t="s">
        <v>88</v>
      </c>
      <c r="D8" s="68">
        <v>14</v>
      </c>
    </row>
    <row r="9" spans="1:11">
      <c r="A9" s="55">
        <v>5</v>
      </c>
      <c r="B9" s="56" t="s">
        <v>48</v>
      </c>
      <c r="C9" s="65" t="s">
        <v>88</v>
      </c>
      <c r="D9" s="68">
        <v>13</v>
      </c>
    </row>
    <row r="10" spans="1:11">
      <c r="A10" s="55">
        <v>6</v>
      </c>
      <c r="B10" s="56" t="s">
        <v>59</v>
      </c>
      <c r="C10" s="65" t="s">
        <v>88</v>
      </c>
      <c r="D10" s="68">
        <v>12</v>
      </c>
    </row>
    <row r="11" spans="1:11">
      <c r="A11" s="55">
        <v>7</v>
      </c>
      <c r="B11" s="56" t="s">
        <v>50</v>
      </c>
      <c r="C11" s="65" t="s">
        <v>89</v>
      </c>
      <c r="D11" s="68">
        <v>11</v>
      </c>
    </row>
    <row r="12" spans="1:11">
      <c r="A12" s="55">
        <v>8</v>
      </c>
      <c r="B12" s="56" t="s">
        <v>45</v>
      </c>
      <c r="C12" s="65" t="s">
        <v>88</v>
      </c>
      <c r="D12" s="68">
        <v>10</v>
      </c>
    </row>
    <row r="13" spans="1:11">
      <c r="A13" s="55">
        <v>9</v>
      </c>
      <c r="B13" s="56" t="s">
        <v>44</v>
      </c>
      <c r="C13" s="65" t="s">
        <v>88</v>
      </c>
      <c r="D13" s="68">
        <v>9</v>
      </c>
    </row>
    <row r="14" spans="1:11">
      <c r="A14" s="55">
        <v>10</v>
      </c>
      <c r="B14" s="56" t="s">
        <v>46</v>
      </c>
      <c r="C14" s="65" t="s">
        <v>88</v>
      </c>
      <c r="D14" s="68">
        <v>8</v>
      </c>
    </row>
    <row r="15" spans="1:11">
      <c r="A15" s="55">
        <v>11</v>
      </c>
      <c r="B15" s="56" t="s">
        <v>49</v>
      </c>
      <c r="C15" s="65" t="s">
        <v>88</v>
      </c>
      <c r="D15" s="68">
        <v>7</v>
      </c>
    </row>
    <row r="16" spans="1:11">
      <c r="A16" s="55">
        <v>12</v>
      </c>
      <c r="B16" s="56" t="s">
        <v>51</v>
      </c>
      <c r="C16" s="65" t="s">
        <v>88</v>
      </c>
      <c r="D16" s="68">
        <v>6</v>
      </c>
    </row>
    <row r="17" spans="1:7">
      <c r="A17" s="55">
        <v>13</v>
      </c>
      <c r="B17" s="56" t="s">
        <v>58</v>
      </c>
      <c r="C17" s="65" t="s">
        <v>88</v>
      </c>
      <c r="D17" s="68">
        <v>5</v>
      </c>
    </row>
    <row r="18" spans="1:7">
      <c r="A18" s="55">
        <v>14</v>
      </c>
      <c r="B18" s="56" t="s">
        <v>56</v>
      </c>
      <c r="C18" s="65" t="s">
        <v>89</v>
      </c>
      <c r="D18" s="68">
        <v>4</v>
      </c>
    </row>
    <row r="19" spans="1:7">
      <c r="A19" s="55">
        <v>15</v>
      </c>
      <c r="B19" s="56" t="s">
        <v>61</v>
      </c>
      <c r="C19" s="65" t="s">
        <v>89</v>
      </c>
      <c r="D19" s="68">
        <v>3</v>
      </c>
    </row>
    <row r="20" spans="1:7" ht="15.75" thickBot="1">
      <c r="A20" s="57">
        <v>16</v>
      </c>
      <c r="B20" s="58" t="s">
        <v>55</v>
      </c>
      <c r="C20" s="66" t="s">
        <v>89</v>
      </c>
      <c r="D20" s="69">
        <v>2</v>
      </c>
    </row>
    <row r="22" spans="1:7" ht="21">
      <c r="A22" s="59"/>
      <c r="B22" s="59"/>
      <c r="C22" s="59"/>
      <c r="D22" s="59"/>
      <c r="E22" s="59"/>
      <c r="F22" s="59"/>
      <c r="G22" s="40"/>
    </row>
    <row r="23" spans="1:7" ht="15" customHeight="1">
      <c r="A23" s="59" t="s">
        <v>103</v>
      </c>
      <c r="B23" s="59"/>
      <c r="C23" s="59"/>
      <c r="D23" s="59"/>
      <c r="E23" s="59"/>
      <c r="F23" s="59"/>
      <c r="G23" s="40"/>
    </row>
    <row r="24" spans="1:7" ht="15" customHeight="1">
      <c r="A24" s="59"/>
      <c r="B24" s="59"/>
      <c r="C24" s="59"/>
      <c r="D24" s="59"/>
      <c r="E24" s="59"/>
      <c r="F24" s="59"/>
      <c r="G24" s="40"/>
    </row>
    <row r="25" spans="1:7" ht="21">
      <c r="A25" s="59"/>
      <c r="B25" s="59"/>
      <c r="C25" s="59"/>
      <c r="D25" s="59"/>
      <c r="E25" s="59"/>
      <c r="F25" s="59"/>
      <c r="G25" s="40"/>
    </row>
    <row r="26" spans="1:7" ht="21">
      <c r="A26" s="59" t="s">
        <v>104</v>
      </c>
      <c r="B26" s="59"/>
      <c r="C26" s="59"/>
      <c r="D26" s="59"/>
      <c r="E26" s="59"/>
      <c r="F26" s="59"/>
      <c r="G26" s="40"/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workbookViewId="0">
      <selection activeCell="G25" sqref="G25"/>
    </sheetView>
  </sheetViews>
  <sheetFormatPr defaultRowHeight="15"/>
  <cols>
    <col min="2" max="2" width="21.140625" customWidth="1"/>
    <col min="3" max="3" width="22.42578125" customWidth="1"/>
    <col min="4" max="4" width="36.7109375" customWidth="1"/>
  </cols>
  <sheetData>
    <row r="1" spans="1:11" ht="54" customHeight="1">
      <c r="A1" s="131" t="s">
        <v>91</v>
      </c>
      <c r="B1" s="131"/>
      <c r="C1" s="131"/>
      <c r="D1" s="131"/>
      <c r="E1" s="50"/>
      <c r="F1" s="50"/>
      <c r="G1" s="50"/>
      <c r="H1" s="50"/>
      <c r="I1" s="50"/>
      <c r="J1" s="50"/>
      <c r="K1" s="50"/>
    </row>
    <row r="2" spans="1:11" ht="88.5" customHeight="1">
      <c r="A2" s="132" t="s">
        <v>96</v>
      </c>
      <c r="B2" s="132"/>
      <c r="C2" s="132"/>
      <c r="D2" s="132"/>
      <c r="E2" s="51"/>
      <c r="F2" s="51"/>
      <c r="G2" s="52"/>
      <c r="H2" s="52"/>
      <c r="I2" s="52"/>
      <c r="J2" s="52"/>
    </row>
    <row r="3" spans="1:11" ht="15.75" thickBot="1"/>
    <row r="4" spans="1:11">
      <c r="A4" s="53" t="s">
        <v>85</v>
      </c>
      <c r="B4" s="54" t="s">
        <v>86</v>
      </c>
      <c r="C4" s="64" t="s">
        <v>87</v>
      </c>
      <c r="D4" s="67" t="s">
        <v>92</v>
      </c>
    </row>
    <row r="5" spans="1:11">
      <c r="A5" s="55">
        <v>1</v>
      </c>
      <c r="B5" s="56" t="s">
        <v>53</v>
      </c>
      <c r="C5" s="65" t="s">
        <v>88</v>
      </c>
      <c r="D5" s="68">
        <v>20</v>
      </c>
    </row>
    <row r="6" spans="1:11">
      <c r="A6" s="55">
        <v>1</v>
      </c>
      <c r="B6" s="56" t="s">
        <v>59</v>
      </c>
      <c r="C6" s="65" t="s">
        <v>88</v>
      </c>
      <c r="D6" s="68">
        <v>20</v>
      </c>
    </row>
    <row r="7" spans="1:11">
      <c r="A7" s="55">
        <v>2</v>
      </c>
      <c r="B7" s="56" t="s">
        <v>48</v>
      </c>
      <c r="C7" s="65" t="s">
        <v>88</v>
      </c>
      <c r="D7" s="68">
        <v>17</v>
      </c>
    </row>
    <row r="8" spans="1:11">
      <c r="A8" s="55">
        <v>2</v>
      </c>
      <c r="B8" s="56" t="s">
        <v>44</v>
      </c>
      <c r="C8" s="65" t="s">
        <v>88</v>
      </c>
      <c r="D8" s="68">
        <v>17</v>
      </c>
    </row>
    <row r="9" spans="1:11">
      <c r="A9" s="55">
        <v>3</v>
      </c>
      <c r="B9" s="56" t="s">
        <v>58</v>
      </c>
      <c r="C9" s="65" t="s">
        <v>88</v>
      </c>
      <c r="D9" s="68">
        <v>15</v>
      </c>
    </row>
    <row r="10" spans="1:11">
      <c r="A10" s="55">
        <v>3</v>
      </c>
      <c r="B10" s="56" t="s">
        <v>46</v>
      </c>
      <c r="C10" s="65" t="s">
        <v>88</v>
      </c>
      <c r="D10" s="68">
        <v>15</v>
      </c>
    </row>
    <row r="11" spans="1:11">
      <c r="A11" s="55">
        <v>4</v>
      </c>
      <c r="B11" s="56" t="s">
        <v>54</v>
      </c>
      <c r="C11" s="65" t="s">
        <v>88</v>
      </c>
      <c r="D11" s="68">
        <v>14</v>
      </c>
    </row>
    <row r="12" spans="1:11">
      <c r="A12" s="55">
        <v>4</v>
      </c>
      <c r="B12" s="56" t="s">
        <v>45</v>
      </c>
      <c r="C12" s="65" t="s">
        <v>88</v>
      </c>
      <c r="D12" s="68">
        <v>14</v>
      </c>
    </row>
    <row r="13" spans="1:11">
      <c r="A13" s="55">
        <v>5</v>
      </c>
      <c r="B13" s="70" t="s">
        <v>43</v>
      </c>
      <c r="C13" s="65" t="s">
        <v>89</v>
      </c>
      <c r="D13" s="68">
        <v>13</v>
      </c>
    </row>
    <row r="14" spans="1:11">
      <c r="A14" s="55">
        <v>5</v>
      </c>
      <c r="B14" s="56" t="s">
        <v>60</v>
      </c>
      <c r="C14" s="65" t="s">
        <v>89</v>
      </c>
      <c r="D14" s="68">
        <v>13</v>
      </c>
    </row>
    <row r="15" spans="1:11">
      <c r="A15" s="55">
        <v>6</v>
      </c>
      <c r="B15" s="56" t="s">
        <v>97</v>
      </c>
      <c r="C15" s="65" t="s">
        <v>98</v>
      </c>
      <c r="D15" s="68">
        <v>12</v>
      </c>
    </row>
    <row r="16" spans="1:11">
      <c r="A16" s="55">
        <v>6</v>
      </c>
      <c r="B16" s="56" t="s">
        <v>99</v>
      </c>
      <c r="C16" s="65" t="s">
        <v>98</v>
      </c>
      <c r="D16" s="68">
        <v>12</v>
      </c>
    </row>
    <row r="17" spans="1:7">
      <c r="A17" s="55">
        <v>7</v>
      </c>
      <c r="B17" s="56" t="s">
        <v>49</v>
      </c>
      <c r="C17" s="65" t="s">
        <v>88</v>
      </c>
      <c r="D17" s="68">
        <v>11</v>
      </c>
    </row>
    <row r="18" spans="1:7">
      <c r="A18" s="55">
        <v>7</v>
      </c>
      <c r="B18" s="56" t="s">
        <v>51</v>
      </c>
      <c r="C18" s="65" t="s">
        <v>88</v>
      </c>
      <c r="D18" s="68">
        <v>11</v>
      </c>
    </row>
    <row r="19" spans="1:7">
      <c r="A19" s="55">
        <v>8</v>
      </c>
      <c r="B19" s="56" t="s">
        <v>56</v>
      </c>
      <c r="C19" s="65" t="s">
        <v>89</v>
      </c>
      <c r="D19" s="68">
        <v>10</v>
      </c>
    </row>
    <row r="20" spans="1:7">
      <c r="A20" s="55">
        <v>8</v>
      </c>
      <c r="B20" s="56" t="s">
        <v>61</v>
      </c>
      <c r="C20" s="65" t="s">
        <v>89</v>
      </c>
      <c r="D20" s="68">
        <v>10</v>
      </c>
    </row>
    <row r="21" spans="1:7">
      <c r="A21" s="71">
        <v>9</v>
      </c>
      <c r="B21" s="74" t="s">
        <v>55</v>
      </c>
      <c r="C21" s="75" t="s">
        <v>89</v>
      </c>
      <c r="D21" s="72">
        <v>9</v>
      </c>
    </row>
    <row r="22" spans="1:7" ht="16.5" customHeight="1">
      <c r="A22" s="55">
        <v>9</v>
      </c>
      <c r="B22" s="74" t="s">
        <v>100</v>
      </c>
      <c r="C22" s="75" t="s">
        <v>89</v>
      </c>
      <c r="D22" s="72">
        <v>9</v>
      </c>
      <c r="E22" s="59"/>
      <c r="F22" s="59"/>
      <c r="G22" s="40"/>
    </row>
    <row r="23" spans="1:7" ht="15" customHeight="1">
      <c r="A23" s="55">
        <v>10</v>
      </c>
      <c r="B23" s="74" t="s">
        <v>50</v>
      </c>
      <c r="C23" s="75" t="s">
        <v>89</v>
      </c>
      <c r="D23" s="72">
        <v>8</v>
      </c>
      <c r="E23" s="59"/>
      <c r="F23" s="59"/>
      <c r="G23" s="40"/>
    </row>
    <row r="24" spans="1:7" ht="15" customHeight="1" thickBot="1">
      <c r="A24" s="57">
        <v>10</v>
      </c>
      <c r="B24" s="76" t="s">
        <v>101</v>
      </c>
      <c r="C24" s="77" t="s">
        <v>89</v>
      </c>
      <c r="D24" s="73">
        <v>8</v>
      </c>
      <c r="E24" s="59"/>
      <c r="F24" s="59"/>
      <c r="G24" s="40"/>
    </row>
    <row r="25" spans="1:7" ht="21">
      <c r="A25" s="59"/>
      <c r="B25" s="59"/>
      <c r="C25" s="59"/>
      <c r="D25" s="59"/>
      <c r="E25" s="59"/>
      <c r="F25" s="59"/>
      <c r="G25" s="40"/>
    </row>
    <row r="27" spans="1:7" ht="21">
      <c r="A27" s="59" t="s">
        <v>103</v>
      </c>
      <c r="B27" s="59"/>
      <c r="C27" s="59"/>
      <c r="D27" s="59"/>
      <c r="E27" s="59"/>
      <c r="F27" s="59"/>
      <c r="G27" s="40"/>
    </row>
    <row r="28" spans="1:7" ht="21">
      <c r="A28" s="59"/>
      <c r="B28" s="59"/>
      <c r="C28" s="59"/>
      <c r="D28" s="59"/>
      <c r="E28" s="59"/>
      <c r="F28" s="59"/>
      <c r="G28" s="40"/>
    </row>
    <row r="29" spans="1:7" ht="21">
      <c r="A29" s="59"/>
      <c r="B29" s="59"/>
      <c r="C29" s="59"/>
      <c r="D29" s="59"/>
      <c r="E29" s="59"/>
      <c r="F29" s="59"/>
      <c r="G29" s="40"/>
    </row>
    <row r="30" spans="1:7" ht="21">
      <c r="A30" s="59" t="s">
        <v>104</v>
      </c>
      <c r="B30" s="59"/>
      <c r="C30" s="59"/>
      <c r="D30" s="59"/>
      <c r="E30" s="59"/>
      <c r="F30" s="59"/>
      <c r="G30" s="40"/>
    </row>
  </sheetData>
  <mergeCells count="2">
    <mergeCell ref="A1:D1"/>
    <mergeCell ref="A2:D2"/>
  </mergeCells>
  <phoneticPr fontId="10" type="noConversion"/>
  <pageMargins left="0.75" right="0.49" top="0.7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8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8" t="e">
        <f>#REF!&amp;#REF!</f>
        <v>#REF!</v>
      </c>
      <c r="J24" s="8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8" t="e">
        <f>#REF!&amp;#REF!</f>
        <v>#REF!</v>
      </c>
      <c r="J25" s="8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8" t="e">
        <f>#REF!&amp;#REF!</f>
        <v>#REF!</v>
      </c>
      <c r="J26" s="8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8" t="e">
        <f>#REF!&amp;#REF!</f>
        <v>#REF!</v>
      </c>
      <c r="J27" s="8" t="e">
        <f>#REF!&amp;#REF!</f>
        <v>#REF!</v>
      </c>
    </row>
    <row r="28" spans="9:28">
      <c r="I28" s="8" t="e">
        <f>#REF!&amp;#REF!</f>
        <v>#REF!</v>
      </c>
      <c r="J28" s="8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8" t="e">
        <f>#REF!&amp;#REF!</f>
        <v>#REF!</v>
      </c>
      <c r="J30" s="8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8" t="e">
        <f>#REF!&amp;#REF!</f>
        <v>#REF!</v>
      </c>
      <c r="J31" s="8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8" t="e">
        <f>#REF!&amp;#REF!</f>
        <v>#REF!</v>
      </c>
      <c r="J32" s="8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8" t="e">
        <f>#REF!&amp;#REF!</f>
        <v>#REF!</v>
      </c>
      <c r="J33" s="8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8" t="e">
        <f>#REF!&amp;#REF!</f>
        <v>#REF!</v>
      </c>
      <c r="J34" s="8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8" t="e">
        <f>#REF!&amp;#REF!</f>
        <v>#REF!</v>
      </c>
      <c r="J36" s="8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8" t="e">
        <f>#REF!&amp;#REF!</f>
        <v>#REF!</v>
      </c>
      <c r="J37" s="8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8" t="e">
        <f>#REF!&amp;#REF!</f>
        <v>#REF!</v>
      </c>
      <c r="J38" s="8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8" t="e">
        <f>#REF!&amp;#REF!</f>
        <v>#REF!</v>
      </c>
      <c r="J39" s="8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8" t="e">
        <f>#REF!&amp;#REF!</f>
        <v>#REF!</v>
      </c>
      <c r="J40" s="8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8" t="e">
        <f>#REF!&amp;#REF!</f>
        <v>#REF!</v>
      </c>
      <c r="J42" s="8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8" t="e">
        <f>#REF!&amp;#REF!</f>
        <v>#REF!</v>
      </c>
      <c r="J43" s="8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8" t="e">
        <f>#REF!&amp;#REF!</f>
        <v>#REF!</v>
      </c>
      <c r="J44" s="8" t="e">
        <f>#REF!&amp;#REF!</f>
        <v>#REF!</v>
      </c>
    </row>
    <row r="45" spans="9:19">
      <c r="I45" s="8" t="e">
        <f>#REF!&amp;#REF!</f>
        <v>#REF!</v>
      </c>
      <c r="J45" s="8" t="e">
        <f>#REF!&amp;#REF!</f>
        <v>#REF!</v>
      </c>
    </row>
    <row r="46" spans="9:19">
      <c r="I46" s="8" t="e">
        <f>#REF!&amp;#REF!</f>
        <v>#REF!</v>
      </c>
      <c r="J46" s="8" t="e">
        <f>#REF!&amp;#REF!</f>
        <v>#REF!</v>
      </c>
    </row>
    <row r="48" spans="9:19">
      <c r="I48" s="8" t="e">
        <f>#REF!&amp;#REF!</f>
        <v>#REF!</v>
      </c>
      <c r="J48" s="8" t="e">
        <f>#REF!&amp;#REF!</f>
        <v>#REF!</v>
      </c>
    </row>
    <row r="49" spans="9:10">
      <c r="I49" s="8" t="e">
        <f>#REF!&amp;#REF!</f>
        <v>#REF!</v>
      </c>
      <c r="J49" s="8" t="e">
        <f>#REF!&amp;#REF!</f>
        <v>#REF!</v>
      </c>
    </row>
    <row r="50" spans="9:10">
      <c r="I50" s="8" t="e">
        <f>#REF!&amp;#REF!</f>
        <v>#REF!</v>
      </c>
      <c r="J50" s="8" t="e">
        <f>#REF!&amp;#REF!</f>
        <v>#REF!</v>
      </c>
    </row>
    <row r="51" spans="9:10">
      <c r="I51" s="8" t="e">
        <f>#REF!&amp;#REF!</f>
        <v>#REF!</v>
      </c>
      <c r="J51" s="8" t="e">
        <f>#REF!&amp;#REF!</f>
        <v>#REF!</v>
      </c>
    </row>
    <row r="52" spans="9:10">
      <c r="I52" s="8" t="e">
        <f>#REF!&amp;#REF!</f>
        <v>#REF!</v>
      </c>
      <c r="J52" s="8" t="e">
        <f>#REF!&amp;#REF!</f>
        <v>#REF!</v>
      </c>
    </row>
    <row r="54" spans="9:10">
      <c r="I54" s="8" t="e">
        <f>#REF!&amp;#REF!</f>
        <v>#REF!</v>
      </c>
      <c r="J54" s="8" t="e">
        <f>#REF!&amp;#REF!</f>
        <v>#REF!</v>
      </c>
    </row>
    <row r="55" spans="9:10">
      <c r="I55" s="8" t="e">
        <f>#REF!&amp;#REF!</f>
        <v>#REF!</v>
      </c>
      <c r="J55" s="8" t="e">
        <f>#REF!&amp;#REF!</f>
        <v>#REF!</v>
      </c>
    </row>
    <row r="56" spans="9:10">
      <c r="I56" s="8" t="e">
        <f>#REF!&amp;#REF!</f>
        <v>#REF!</v>
      </c>
      <c r="J56" s="8" t="e">
        <f>#REF!&amp;#REF!</f>
        <v>#REF!</v>
      </c>
    </row>
    <row r="57" spans="9:10">
      <c r="I57" s="8" t="e">
        <f>#REF!&amp;#REF!</f>
        <v>#REF!</v>
      </c>
      <c r="J57" s="8" t="e">
        <f>#REF!&amp;#REF!</f>
        <v>#REF!</v>
      </c>
    </row>
    <row r="58" spans="9:10">
      <c r="I58" s="8" t="e">
        <f>#REF!&amp;#REF!</f>
        <v>#REF!</v>
      </c>
      <c r="J58" s="8" t="e">
        <f>#REF!&amp;#REF!</f>
        <v>#REF!</v>
      </c>
    </row>
    <row r="60" spans="9:10">
      <c r="I60" s="8" t="e">
        <f>#REF!&amp;#REF!</f>
        <v>#REF!</v>
      </c>
      <c r="J60" s="8" t="e">
        <f>#REF!&amp;#REF!</f>
        <v>#REF!</v>
      </c>
    </row>
    <row r="61" spans="9:10">
      <c r="I61" s="8" t="e">
        <f>#REF!&amp;#REF!</f>
        <v>#REF!</v>
      </c>
      <c r="J61" s="8" t="e">
        <f>#REF!&amp;#REF!</f>
        <v>#REF!</v>
      </c>
    </row>
    <row r="62" spans="9:10">
      <c r="I62" s="8" t="e">
        <f>#REF!&amp;#REF!</f>
        <v>#REF!</v>
      </c>
      <c r="J62" s="8" t="e">
        <f>#REF!&amp;#REF!</f>
        <v>#REF!</v>
      </c>
    </row>
    <row r="63" spans="9:10">
      <c r="I63" s="8" t="e">
        <f>#REF!&amp;#REF!</f>
        <v>#REF!</v>
      </c>
      <c r="J63" s="8" t="e">
        <f>#REF!&amp;#REF!</f>
        <v>#REF!</v>
      </c>
    </row>
    <row r="67" spans="12:12">
      <c r="L67" t="s">
        <v>10</v>
      </c>
    </row>
  </sheetData>
  <sheetCalcPr fullCalcOnLoad="1"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32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14</v>
      </c>
      <c r="C4" s="111"/>
      <c r="D4" s="25">
        <v>13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Мусина Ева</v>
      </c>
      <c r="G6" s="111"/>
      <c r="H6" s="25">
        <v>9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28</v>
      </c>
      <c r="C8" s="111"/>
      <c r="D8" s="25">
        <v>7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Дегтярёва Лариса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15</v>
      </c>
      <c r="C12" s="111"/>
      <c r="D12" s="25">
        <v>13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Дегтярёва Лариса</v>
      </c>
      <c r="G14" s="111"/>
      <c r="H14" s="25">
        <v>13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29</v>
      </c>
      <c r="C16" s="111"/>
      <c r="D16" s="25">
        <v>3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Кочетова Валерия</v>
      </c>
      <c r="C20" s="111"/>
      <c r="D20" s="25">
        <v>13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Кочетова Валерия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Серёгина Ольга</v>
      </c>
      <c r="C24" s="111"/>
      <c r="D24" s="25">
        <v>11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F6:G6"/>
    <mergeCell ref="B8:C8"/>
    <mergeCell ref="B1:N1"/>
    <mergeCell ref="J10:K10"/>
    <mergeCell ref="F22:G22"/>
    <mergeCell ref="B24:C24"/>
    <mergeCell ref="B20:C20"/>
    <mergeCell ref="F20:G20"/>
    <mergeCell ref="B16:C16"/>
    <mergeCell ref="B12:C12"/>
    <mergeCell ref="F14:G14"/>
    <mergeCell ref="B4:C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33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18</v>
      </c>
      <c r="C4" s="111"/>
      <c r="D4" s="25">
        <v>13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Фёдорова Анна</v>
      </c>
      <c r="G6" s="111"/>
      <c r="H6" s="25">
        <v>13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30</v>
      </c>
      <c r="C8" s="111"/>
      <c r="D8" s="25">
        <v>7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Фёдорова Анна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16</v>
      </c>
      <c r="C12" s="111"/>
      <c r="D12" s="25">
        <v>11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Лукина Лариса</v>
      </c>
      <c r="G14" s="111"/>
      <c r="H14" s="25">
        <v>12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27</v>
      </c>
      <c r="C16" s="111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Цепелева Татьяна</v>
      </c>
      <c r="C20" s="111"/>
      <c r="D20" s="25">
        <v>8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Дегтярёва Мила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Дегтярёва Мила</v>
      </c>
      <c r="C24" s="111"/>
      <c r="D24" s="25">
        <v>13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J10:K10"/>
    <mergeCell ref="B4:C4"/>
    <mergeCell ref="F6:G6"/>
    <mergeCell ref="B8:C8"/>
    <mergeCell ref="B1:N1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B27" sqref="B27:H30"/>
    </sheetView>
  </sheetViews>
  <sheetFormatPr defaultRowHeight="15" customHeight="1"/>
  <cols>
    <col min="1" max="1" width="9.140625" style="27"/>
    <col min="2" max="16384" width="9.140625" style="26"/>
  </cols>
  <sheetData>
    <row r="1" spans="2:14" ht="59.25" customHeight="1">
      <c r="B1" s="108" t="s">
        <v>34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2:14" ht="15" customHeight="1">
      <c r="C2" s="34"/>
    </row>
    <row r="3" spans="2:14" ht="15" customHeight="1">
      <c r="C3" s="34"/>
    </row>
    <row r="4" spans="2:14" ht="15" customHeight="1">
      <c r="B4" s="110" t="s">
        <v>17</v>
      </c>
      <c r="C4" s="111"/>
      <c r="D4" s="25">
        <v>13</v>
      </c>
      <c r="E4" s="28"/>
    </row>
    <row r="5" spans="2:14" ht="15" customHeight="1">
      <c r="C5" s="34"/>
      <c r="E5" s="29"/>
    </row>
    <row r="6" spans="2:14" ht="15" customHeight="1">
      <c r="B6" s="33" t="s">
        <v>11</v>
      </c>
      <c r="C6" s="34"/>
      <c r="E6" s="30"/>
      <c r="F6" s="109" t="str">
        <f>IF(ISBLANK(D4),"",IF(D4&gt;D8,B4,B8))</f>
        <v>Маркина Елена</v>
      </c>
      <c r="G6" s="111"/>
      <c r="H6" s="25">
        <v>13</v>
      </c>
      <c r="I6" s="28"/>
    </row>
    <row r="7" spans="2:14" ht="15" customHeight="1">
      <c r="C7" s="34"/>
      <c r="E7" s="30"/>
      <c r="I7" s="29"/>
    </row>
    <row r="8" spans="2:14" ht="15" customHeight="1">
      <c r="B8" s="110" t="s">
        <v>31</v>
      </c>
      <c r="C8" s="111"/>
      <c r="D8" s="25">
        <v>4</v>
      </c>
      <c r="E8" s="31"/>
      <c r="I8" s="30"/>
    </row>
    <row r="9" spans="2:14" ht="15" customHeight="1">
      <c r="C9" s="34"/>
      <c r="I9" s="30"/>
    </row>
    <row r="10" spans="2:14" ht="15" customHeight="1">
      <c r="C10" s="34"/>
      <c r="G10" s="33" t="s">
        <v>11</v>
      </c>
      <c r="H10" s="34"/>
      <c r="I10" s="30"/>
      <c r="J10" s="109" t="str">
        <f>IF(ISBLANK(H6),"",IF(H6&gt;H14,F6,F14))</f>
        <v>Маркина Елена</v>
      </c>
      <c r="K10" s="110"/>
      <c r="L10" s="37"/>
      <c r="M10" s="32"/>
    </row>
    <row r="11" spans="2:14" ht="15" customHeight="1">
      <c r="C11" s="34"/>
      <c r="I11" s="30"/>
      <c r="M11" s="32"/>
    </row>
    <row r="12" spans="2:14" ht="15" customHeight="1">
      <c r="B12" s="110" t="s">
        <v>19</v>
      </c>
      <c r="C12" s="111"/>
      <c r="D12" s="25">
        <v>2</v>
      </c>
      <c r="E12" s="28"/>
      <c r="I12" s="30"/>
      <c r="M12" s="32"/>
    </row>
    <row r="13" spans="2:14" ht="15" customHeight="1">
      <c r="C13" s="34"/>
      <c r="E13" s="29"/>
      <c r="I13" s="30"/>
      <c r="M13" s="32"/>
    </row>
    <row r="14" spans="2:14" ht="15" customHeight="1">
      <c r="B14" s="33" t="s">
        <v>11</v>
      </c>
      <c r="C14" s="34"/>
      <c r="E14" s="30"/>
      <c r="F14" s="109" t="str">
        <f>IF(ISBLANK(D12),"",IF(D12&gt;D16,B12,B16))</f>
        <v>Симутина Юлия</v>
      </c>
      <c r="G14" s="111"/>
      <c r="H14" s="25">
        <v>9</v>
      </c>
      <c r="I14" s="31"/>
      <c r="M14" s="32"/>
    </row>
    <row r="15" spans="2:14" ht="15" customHeight="1">
      <c r="E15" s="30"/>
      <c r="M15" s="32"/>
    </row>
    <row r="16" spans="2:14" ht="15" customHeight="1">
      <c r="B16" s="110" t="s">
        <v>26</v>
      </c>
      <c r="C16" s="111"/>
      <c r="D16" s="25">
        <v>13</v>
      </c>
      <c r="E16" s="31"/>
      <c r="M16" s="32"/>
    </row>
    <row r="17" spans="2:13" ht="15" customHeight="1">
      <c r="M17" s="32"/>
    </row>
    <row r="20" spans="2:13" ht="15" customHeight="1">
      <c r="B20" s="110" t="str">
        <f>IF(ISBLANK(D4),"",IF(D4&gt;D8,B8,B4))</f>
        <v>Симонова Елена</v>
      </c>
      <c r="C20" s="111"/>
      <c r="D20" s="25">
        <v>13</v>
      </c>
      <c r="E20" s="28"/>
      <c r="F20" s="112"/>
      <c r="G20" s="112"/>
    </row>
    <row r="21" spans="2:13" ht="15" customHeight="1">
      <c r="E21" s="29"/>
    </row>
    <row r="22" spans="2:13" ht="15" customHeight="1">
      <c r="C22" s="33" t="s">
        <v>11</v>
      </c>
      <c r="E22" s="30"/>
      <c r="F22" s="109" t="str">
        <f>IF(ISBLANK(D20),"",IF(D20&gt;D24,B20,B24))</f>
        <v>Симонова Елена</v>
      </c>
      <c r="G22" s="110"/>
    </row>
    <row r="23" spans="2:13" ht="15" customHeight="1">
      <c r="E23" s="30"/>
    </row>
    <row r="24" spans="2:13" ht="15" customHeight="1">
      <c r="B24" s="110" t="str">
        <f>IF(ISBLANK(D12),"",IF(D12&gt;D16,B16,B12))</f>
        <v>Пилипенко Ирина</v>
      </c>
      <c r="C24" s="111"/>
      <c r="D24" s="25">
        <v>12</v>
      </c>
      <c r="E24" s="31"/>
    </row>
    <row r="27" spans="2:13" ht="15" customHeight="1">
      <c r="B27" s="59" t="s">
        <v>103</v>
      </c>
      <c r="C27" s="59"/>
      <c r="D27" s="59"/>
      <c r="E27" s="59"/>
      <c r="F27" s="59"/>
      <c r="G27" s="59"/>
      <c r="H27" s="40"/>
    </row>
    <row r="28" spans="2:13" ht="15" customHeight="1">
      <c r="B28" s="59"/>
      <c r="C28" s="59"/>
      <c r="D28" s="59"/>
      <c r="E28" s="59"/>
      <c r="F28" s="59"/>
      <c r="G28" s="59"/>
      <c r="H28" s="40"/>
    </row>
    <row r="29" spans="2:13" ht="15" customHeight="1">
      <c r="B29" s="59"/>
      <c r="C29" s="59"/>
      <c r="D29" s="59"/>
      <c r="E29" s="59"/>
      <c r="F29" s="59"/>
      <c r="G29" s="59"/>
      <c r="H29" s="40"/>
    </row>
    <row r="30" spans="2:13" ht="15" customHeight="1">
      <c r="B30" s="59" t="s">
        <v>104</v>
      </c>
      <c r="C30" s="59"/>
      <c r="D30" s="59"/>
      <c r="E30" s="59"/>
      <c r="F30" s="59"/>
      <c r="G30" s="59"/>
      <c r="H30" s="40"/>
    </row>
  </sheetData>
  <mergeCells count="12">
    <mergeCell ref="J10:K10"/>
    <mergeCell ref="B4:C4"/>
    <mergeCell ref="F6:G6"/>
    <mergeCell ref="B8:C8"/>
    <mergeCell ref="B1:N1"/>
    <mergeCell ref="B24:C24"/>
    <mergeCell ref="B20:C20"/>
    <mergeCell ref="F20:G20"/>
    <mergeCell ref="B12:C12"/>
    <mergeCell ref="F14:G14"/>
    <mergeCell ref="B16:C16"/>
    <mergeCell ref="F22:G2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opLeftCell="A31" workbookViewId="0">
      <selection activeCell="B45" sqref="B45:H48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2:14" ht="38.25" customHeight="1">
      <c r="B1" s="116" t="s">
        <v>35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2:14" ht="15.75" thickBot="1">
      <c r="M2"/>
    </row>
    <row r="3" spans="2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102">
        <v>1</v>
      </c>
      <c r="C4" s="103" t="s">
        <v>36</v>
      </c>
      <c r="D4" s="104"/>
      <c r="E4" s="105"/>
      <c r="F4" s="9" t="s">
        <v>7</v>
      </c>
      <c r="G4" s="5" t="str">
        <f ca="1">INDIRECT(ADDRESS(27,6))&amp;":"&amp;INDIRECT(ADDRESS(27,7))</f>
        <v>13:4</v>
      </c>
      <c r="H4" s="5" t="str">
        <f ca="1">INDIRECT(ADDRESS(31,7))&amp;":"&amp;INDIRECT(ADDRESS(31,6))</f>
        <v>9:8</v>
      </c>
      <c r="I4" s="5" t="str">
        <f ca="1">INDIRECT(ADDRESS(36,6))&amp;":"&amp;INDIRECT(ADDRESS(36,7))</f>
        <v>13:1</v>
      </c>
      <c r="J4" s="5" t="str">
        <f ca="1">INDIRECT(ADDRESS(42,7))&amp;":"&amp;INDIRECT(ADDRESS(42,6))</f>
        <v>13:6</v>
      </c>
      <c r="K4" s="20" t="str">
        <f ca="1">INDIRECT(ADDRESS(20,6))&amp;":"&amp;INDIRECT(ADDRESS(20,7))</f>
        <v>13:1</v>
      </c>
      <c r="L4" s="106">
        <f ca="1">IF(COUNT(F5:K5)=0,"",COUNTIF(F5:K5,"&gt;0")+0.5*COUNTIF(F5:K5,0))</f>
        <v>5</v>
      </c>
      <c r="M4" s="23"/>
      <c r="N4" s="107">
        <v>1</v>
      </c>
    </row>
    <row r="5" spans="2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COLUMN())))=1,"",INDIRECT(ADDRESS(27,6))-INDIRECT(ADDRESS(27,7)))</f>
        <v>9</v>
      </c>
      <c r="H5" s="16">
        <f ca="1">IF(LEN(INDIRECT(ADDRESS(ROW()-1, COLUMN())))=1,"",INDIRECT(ADDRESS(31,7))-INDIRECT(ADDRESS(31,6)))</f>
        <v>1</v>
      </c>
      <c r="I5" s="16">
        <f ca="1">IF(LEN(INDIRECT(ADDRESS(ROW()-1, COLUMN())))=1,"",INDIRECT(ADDRESS(36,6))-INDIRECT(ADDRESS(36,7)))</f>
        <v>12</v>
      </c>
      <c r="J5" s="16">
        <f ca="1">IF(LEN(INDIRECT(ADDRESS(ROW()-1, COLUMN())))=1,"",INDIRECT(ADDRESS(42,7))-INDIRECT(ADDRESS(42,6)))</f>
        <v>7</v>
      </c>
      <c r="K5" s="17">
        <f ca="1">IF(LEN(INDIRECT(ADDRESS(ROW()-1, COLUMN())))=1,"",INDIRECT(ADDRESS(20,6))-INDIRECT(ADDRESS(20,7)))</f>
        <v>12</v>
      </c>
      <c r="L5" s="94"/>
      <c r="M5" s="16">
        <f ca="1">IF(COUNT(F5:K5)=0,"",SUM(F5:K5))</f>
        <v>41</v>
      </c>
      <c r="N5" s="88"/>
    </row>
    <row r="6" spans="2:14" ht="24" customHeight="1">
      <c r="B6" s="89">
        <v>2</v>
      </c>
      <c r="C6" s="84" t="s">
        <v>37</v>
      </c>
      <c r="D6" s="85"/>
      <c r="E6" s="86"/>
      <c r="F6" s="11" t="str">
        <f ca="1">INDIRECT(ADDRESS(27,7))&amp;":"&amp;INDIRECT(ADDRESS(27,6))</f>
        <v>4:13</v>
      </c>
      <c r="G6" s="7" t="s">
        <v>7</v>
      </c>
      <c r="H6" s="6" t="str">
        <f ca="1">INDIRECT(ADDRESS(37,6))&amp;":"&amp;INDIRECT(ADDRESS(37,7))</f>
        <v>7:6</v>
      </c>
      <c r="I6" s="6" t="str">
        <f ca="1">INDIRECT(ADDRESS(41,7))&amp;":"&amp;INDIRECT(ADDRESS(41,6))</f>
        <v>13:9</v>
      </c>
      <c r="J6" s="6" t="str">
        <f ca="1">INDIRECT(ADDRESS(21,6))&amp;":"&amp;INDIRECT(ADDRESS(21,7))</f>
        <v>5:10</v>
      </c>
      <c r="K6" s="10" t="str">
        <f ca="1">INDIRECT(ADDRESS(30,6))&amp;":"&amp;INDIRECT(ADDRESS(30,7))</f>
        <v>11:10</v>
      </c>
      <c r="L6" s="94">
        <f ca="1">IF(COUNT(F7:K7)=0,"",COUNTIF(F7:K7,"&gt;0")+0.5*COUNTIF(F7:K7,0))</f>
        <v>3</v>
      </c>
      <c r="M6" s="16">
        <v>-4</v>
      </c>
      <c r="N6" s="87">
        <v>3</v>
      </c>
    </row>
    <row r="7" spans="2:14" ht="24" customHeight="1">
      <c r="B7" s="97"/>
      <c r="C7" s="84"/>
      <c r="D7" s="85"/>
      <c r="E7" s="86"/>
      <c r="F7" s="22">
        <f ca="1">IF(LEN(INDIRECT(ADDRESS(ROW()-1, COLUMN())))=1,"",INDIRECT(ADDRESS(27,7))-INDIRECT(ADDRESS(27,6)))</f>
        <v>-9</v>
      </c>
      <c r="G7" s="14" t="s">
        <v>7</v>
      </c>
      <c r="H7" s="16">
        <f ca="1">IF(LEN(INDIRECT(ADDRESS(ROW()-1, COLUMN())))=1,"",INDIRECT(ADDRESS(37,6))-INDIRECT(ADDRESS(37,7)))</f>
        <v>1</v>
      </c>
      <c r="I7" s="16">
        <f ca="1">IF(LEN(INDIRECT(ADDRESS(ROW()-1, COLUMN())))=1,"",INDIRECT(ADDRESS(41,7))-INDIRECT(ADDRESS(41,6)))</f>
        <v>4</v>
      </c>
      <c r="J7" s="16">
        <f ca="1">IF(LEN(INDIRECT(ADDRESS(ROW()-1, COLUMN())))=1,"",INDIRECT(ADDRESS(21,6))-INDIRECT(ADDRESS(21,7)))</f>
        <v>-5</v>
      </c>
      <c r="K7" s="17">
        <f ca="1">IF(LEN(INDIRECT(ADDRESS(ROW()-1, COLUMN())))=1,"",INDIRECT(ADDRESS(30,6))-INDIRECT(ADDRESS(30,7)))</f>
        <v>1</v>
      </c>
      <c r="L7" s="94"/>
      <c r="M7" s="16">
        <f ca="1">IF(COUNT(F7:K7)=0,"",SUM(F7:K7))</f>
        <v>-8</v>
      </c>
      <c r="N7" s="88"/>
    </row>
    <row r="8" spans="2:14" ht="24" customHeight="1">
      <c r="B8" s="89">
        <v>3</v>
      </c>
      <c r="C8" s="84" t="s">
        <v>38</v>
      </c>
      <c r="D8" s="85"/>
      <c r="E8" s="86"/>
      <c r="F8" s="11" t="str">
        <f ca="1">INDIRECT(ADDRESS(31,6))&amp;":"&amp;INDIRECT(ADDRESS(31,7))</f>
        <v>8:9</v>
      </c>
      <c r="G8" s="6" t="str">
        <f ca="1">INDIRECT(ADDRESS(37,7))&amp;":"&amp;INDIRECT(ADDRESS(37,6))</f>
        <v>6:7</v>
      </c>
      <c r="H8" s="7" t="s">
        <v>7</v>
      </c>
      <c r="I8" s="6" t="str">
        <f ca="1">INDIRECT(ADDRESS(22,6))&amp;":"&amp;INDIRECT(ADDRESS(22,7))</f>
        <v>13:1</v>
      </c>
      <c r="J8" s="6" t="str">
        <f ca="1">INDIRECT(ADDRESS(26,7))&amp;":"&amp;INDIRECT(ADDRESS(26,6))</f>
        <v>13:0</v>
      </c>
      <c r="K8" s="10" t="str">
        <f ca="1">INDIRECT(ADDRESS(40,6))&amp;":"&amp;INDIRECT(ADDRESS(40,7))</f>
        <v>13:2</v>
      </c>
      <c r="L8" s="94">
        <f ca="1">IF(COUNT(F9:K9)=0,"",COUNTIF(F9:K9,"&gt;0")+0.5*COUNTIF(F9:K9,0))</f>
        <v>3</v>
      </c>
      <c r="M8" s="16">
        <v>12</v>
      </c>
      <c r="N8" s="87">
        <v>2</v>
      </c>
    </row>
    <row r="9" spans="2:14" ht="24" customHeight="1">
      <c r="B9" s="97"/>
      <c r="C9" s="84"/>
      <c r="D9" s="85"/>
      <c r="E9" s="86"/>
      <c r="F9" s="22">
        <f ca="1">IF(LEN(INDIRECT(ADDRESS(ROW()-1, COLUMN())))=1,"",INDIRECT(ADDRESS(31,6))-INDIRECT(ADDRESS(31,7)))</f>
        <v>-1</v>
      </c>
      <c r="G9" s="16">
        <f ca="1">IF(LEN(INDIRECT(ADDRESS(ROW()-1, COLUMN())))=1,"",INDIRECT(ADDRESS(37,7))-INDIRECT(ADDRESS(37,6)))</f>
        <v>-1</v>
      </c>
      <c r="H9" s="14" t="s">
        <v>7</v>
      </c>
      <c r="I9" s="16">
        <f ca="1">IF(LEN(INDIRECT(ADDRESS(ROW()-1, COLUMN())))=1,"",INDIRECT(ADDRESS(22,6))-INDIRECT(ADDRESS(22,7)))</f>
        <v>12</v>
      </c>
      <c r="J9" s="16">
        <f ca="1">IF(LEN(INDIRECT(ADDRESS(ROW()-1, COLUMN())))=1,"",INDIRECT(ADDRESS(26,7))-INDIRECT(ADDRESS(26,6)))</f>
        <v>13</v>
      </c>
      <c r="K9" s="17">
        <f ca="1">IF(LEN(INDIRECT(ADDRESS(ROW()-1, COLUMN())))=1,"",INDIRECT(ADDRESS(40,6))-INDIRECT(ADDRESS(40,7)))</f>
        <v>11</v>
      </c>
      <c r="L9" s="94"/>
      <c r="M9" s="16">
        <f ca="1">IF(COUNT(F9:K9)=0,"",SUM(F9:K9))</f>
        <v>34</v>
      </c>
      <c r="N9" s="88"/>
    </row>
    <row r="10" spans="2:14" ht="24" customHeight="1">
      <c r="B10" s="89">
        <v>4</v>
      </c>
      <c r="C10" s="84" t="s">
        <v>39</v>
      </c>
      <c r="D10" s="85"/>
      <c r="E10" s="86"/>
      <c r="F10" s="11" t="str">
        <f ca="1">INDIRECT(ADDRESS(36,7))&amp;":"&amp;INDIRECT(ADDRESS(36,6))</f>
        <v>1:13</v>
      </c>
      <c r="G10" s="6" t="str">
        <f ca="1">INDIRECT(ADDRESS(41,6))&amp;":"&amp;INDIRECT(ADDRESS(41,7))</f>
        <v>9:13</v>
      </c>
      <c r="H10" s="6" t="str">
        <f ca="1">INDIRECT(ADDRESS(22,7))&amp;":"&amp;INDIRECT(ADDRESS(22,6))</f>
        <v>1:13</v>
      </c>
      <c r="I10" s="7" t="s">
        <v>7</v>
      </c>
      <c r="J10" s="6" t="str">
        <f ca="1">INDIRECT(ADDRESS(32,6))&amp;":"&amp;INDIRECT(ADDRESS(32,7))</f>
        <v>11:13</v>
      </c>
      <c r="K10" s="10" t="str">
        <f ca="1">INDIRECT(ADDRESS(25,7))&amp;":"&amp;INDIRECT(ADDRESS(25,6))</f>
        <v>13:5</v>
      </c>
      <c r="L10" s="94">
        <f ca="1">IF(COUNT(F11:K11)=0,"",COUNTIF(F11:K11,"&gt;0")+0.5*COUNTIF(F11:K11,0))</f>
        <v>1</v>
      </c>
      <c r="M10" s="16"/>
      <c r="N10" s="87">
        <v>5</v>
      </c>
    </row>
    <row r="11" spans="2:14" ht="24" customHeight="1">
      <c r="B11" s="97"/>
      <c r="C11" s="84"/>
      <c r="D11" s="85"/>
      <c r="E11" s="86"/>
      <c r="F11" s="22">
        <f ca="1">IF(LEN(INDIRECT(ADDRESS(ROW()-1, COLUMN())))=1,"",INDIRECT(ADDRESS(36,7))-INDIRECT(ADDRESS(36,6)))</f>
        <v>-12</v>
      </c>
      <c r="G11" s="16">
        <f ca="1">IF(LEN(INDIRECT(ADDRESS(ROW()-1, COLUMN())))=1,"",INDIRECT(ADDRESS(41,6))-INDIRECT(ADDRESS(41,7)))</f>
        <v>-4</v>
      </c>
      <c r="H11" s="16">
        <f ca="1">IF(LEN(INDIRECT(ADDRESS(ROW()-1, COLUMN())))=1,"",INDIRECT(ADDRESS(22,7))-INDIRECT(ADDRESS(22,6)))</f>
        <v>-12</v>
      </c>
      <c r="I11" s="14" t="s">
        <v>7</v>
      </c>
      <c r="J11" s="16">
        <f ca="1">IF(LEN(INDIRECT(ADDRESS(ROW()-1, COLUMN())))=1,"",INDIRECT(ADDRESS(32,6))-INDIRECT(ADDRESS(32,7)))</f>
        <v>-2</v>
      </c>
      <c r="K11" s="17">
        <f ca="1">IF(LEN(INDIRECT(ADDRESS(ROW()-1, COLUMN())))=1,"",INDIRECT(ADDRESS(25,7))-INDIRECT(ADDRESS(25,6)))</f>
        <v>8</v>
      </c>
      <c r="L11" s="94"/>
      <c r="M11" s="16">
        <f ca="1">IF(COUNT(F11:K11)=0,"",SUM(F11:K11))</f>
        <v>-22</v>
      </c>
      <c r="N11" s="88"/>
    </row>
    <row r="12" spans="2:14" ht="24" customHeight="1">
      <c r="B12" s="89">
        <v>5</v>
      </c>
      <c r="C12" s="84" t="s">
        <v>40</v>
      </c>
      <c r="D12" s="85"/>
      <c r="E12" s="86"/>
      <c r="F12" s="11" t="str">
        <f ca="1">INDIRECT(ADDRESS(42,6))&amp;":"&amp;INDIRECT(ADDRESS(42,7))</f>
        <v>6:13</v>
      </c>
      <c r="G12" s="6" t="str">
        <f ca="1">INDIRECT(ADDRESS(21,7))&amp;":"&amp;INDIRECT(ADDRESS(21,6))</f>
        <v>10:5</v>
      </c>
      <c r="H12" s="6" t="str">
        <f ca="1">INDIRECT(ADDRESS(26,6))&amp;":"&amp;INDIRECT(ADDRESS(26,7))</f>
        <v>0:13</v>
      </c>
      <c r="I12" s="6" t="str">
        <f ca="1">INDIRECT(ADDRESS(32,7))&amp;":"&amp;INDIRECT(ADDRESS(32,6))</f>
        <v>13:11</v>
      </c>
      <c r="J12" s="7" t="s">
        <v>7</v>
      </c>
      <c r="K12" s="10" t="str">
        <f ca="1">INDIRECT(ADDRESS(35,7))&amp;":"&amp;INDIRECT(ADDRESS(35,6))</f>
        <v>13:3</v>
      </c>
      <c r="L12" s="94">
        <f ca="1">IF(COUNT(F13:K13)=0,"",COUNTIF(F13:K13,"&gt;0")+0.5*COUNTIF(F13:K13,0))</f>
        <v>3</v>
      </c>
      <c r="M12" s="16">
        <v>-8</v>
      </c>
      <c r="N12" s="87">
        <v>4</v>
      </c>
    </row>
    <row r="13" spans="2:14" ht="24" customHeight="1">
      <c r="B13" s="97"/>
      <c r="C13" s="84"/>
      <c r="D13" s="85"/>
      <c r="E13" s="86"/>
      <c r="F13" s="22">
        <f ca="1">IF(LEN(INDIRECT(ADDRESS(ROW()-1, COLUMN())))=1,"",INDIRECT(ADDRESS(42,6))-INDIRECT(ADDRESS(42,7)))</f>
        <v>-7</v>
      </c>
      <c r="G13" s="16">
        <f ca="1">IF(LEN(INDIRECT(ADDRESS(ROW()-1, COLUMN())))=1,"",INDIRECT(ADDRESS(21,7))-INDIRECT(ADDRESS(21,6)))</f>
        <v>5</v>
      </c>
      <c r="H13" s="16">
        <f ca="1">IF(LEN(INDIRECT(ADDRESS(ROW()-1, COLUMN())))=1,"",INDIRECT(ADDRESS(26,6))-INDIRECT(ADDRESS(26,7)))</f>
        <v>-13</v>
      </c>
      <c r="I13" s="16">
        <f ca="1">IF(LEN(INDIRECT(ADDRESS(ROW()-1, COLUMN())))=1,"",INDIRECT(ADDRESS(32,7))-INDIRECT(ADDRESS(32,6)))</f>
        <v>2</v>
      </c>
      <c r="J13" s="14" t="s">
        <v>7</v>
      </c>
      <c r="K13" s="17">
        <f ca="1">IF(LEN(INDIRECT(ADDRESS(ROW()-1, COLUMN())))=1,"",INDIRECT(ADDRESS(35,7))-INDIRECT(ADDRESS(35,6)))</f>
        <v>10</v>
      </c>
      <c r="L13" s="94"/>
      <c r="M13" s="16">
        <f ca="1">IF(COUNT(F13:K13)=0,"",SUM(F13:K13))</f>
        <v>-3</v>
      </c>
      <c r="N13" s="88"/>
    </row>
    <row r="14" spans="2:14" ht="24" customHeight="1">
      <c r="B14" s="89">
        <v>6</v>
      </c>
      <c r="C14" s="84" t="s">
        <v>41</v>
      </c>
      <c r="D14" s="85"/>
      <c r="E14" s="86"/>
      <c r="F14" s="11" t="str">
        <f ca="1">INDIRECT(ADDRESS(20,7))&amp;":"&amp;INDIRECT(ADDRESS(20,6))</f>
        <v>1:13</v>
      </c>
      <c r="G14" s="6" t="str">
        <f ca="1">INDIRECT(ADDRESS(30,7))&amp;":"&amp;INDIRECT(ADDRESS(30,6))</f>
        <v>10:11</v>
      </c>
      <c r="H14" s="6" t="str">
        <f ca="1">INDIRECT(ADDRESS(40,7))&amp;":"&amp;INDIRECT(ADDRESS(40,6))</f>
        <v>2:13</v>
      </c>
      <c r="I14" s="6" t="str">
        <f ca="1">INDIRECT(ADDRESS(25,6))&amp;":"&amp;INDIRECT(ADDRESS(25,7))</f>
        <v>5:13</v>
      </c>
      <c r="J14" s="6" t="str">
        <f ca="1">INDIRECT(ADDRESS(35,6))&amp;":"&amp;INDIRECT(ADDRESS(35,7))</f>
        <v>3:13</v>
      </c>
      <c r="K14" s="12" t="s">
        <v>7</v>
      </c>
      <c r="L14" s="94">
        <f ca="1">IF(COUNT(F15:K15)=0,"",COUNTIF(F15:K15,"&gt;0")+0.5*COUNTIF(F15:K15,0))</f>
        <v>0</v>
      </c>
      <c r="M14" s="16"/>
      <c r="N14" s="87">
        <v>6</v>
      </c>
    </row>
    <row r="15" spans="2:14" ht="24" customHeight="1" thickBot="1">
      <c r="B15" s="90"/>
      <c r="C15" s="91"/>
      <c r="D15" s="92"/>
      <c r="E15" s="93"/>
      <c r="F15" s="19">
        <f ca="1">IF(LEN(INDIRECT(ADDRESS(ROW()-1, COLUMN())))=1,"",INDIRECT(ADDRESS(20,7))-INDIRECT(ADDRESS(20,6)))</f>
        <v>-12</v>
      </c>
      <c r="G15" s="18">
        <f ca="1">IF(LEN(INDIRECT(ADDRESS(ROW()-1, COLUMN())))=1,"",INDIRECT(ADDRESS(30,7))-INDIRECT(ADDRESS(30,6)))</f>
        <v>-1</v>
      </c>
      <c r="H15" s="18">
        <f ca="1">IF(LEN(INDIRECT(ADDRESS(ROW()-1, COLUMN())))=1,"",INDIRECT(ADDRESS(40,7))-INDIRECT(ADDRESS(40,6)))</f>
        <v>-11</v>
      </c>
      <c r="I15" s="18">
        <f ca="1">IF(LEN(INDIRECT(ADDRESS(ROW()-1, COLUMN())))=1,"",INDIRECT(ADDRESS(25,6))-INDIRECT(ADDRESS(25,7)))</f>
        <v>-8</v>
      </c>
      <c r="J15" s="18">
        <f ca="1">IF(LEN(INDIRECT(ADDRESS(ROW()-1, COLUMN())))=1,"",INDIRECT(ADDRESS(35,6))-INDIRECT(ADDRESS(35,7)))</f>
        <v>-10</v>
      </c>
      <c r="K15" s="15" t="s">
        <v>7</v>
      </c>
      <c r="L15" s="95"/>
      <c r="M15" s="18">
        <f ca="1">IF(COUNT(F15:K15)=0,"",SUM(F15:K15))</f>
        <v>-42</v>
      </c>
      <c r="N15" s="96"/>
    </row>
    <row r="16" spans="2:14">
      <c r="M16"/>
    </row>
    <row r="17" spans="1:13">
      <c r="M17"/>
    </row>
    <row r="18" spans="1:13">
      <c r="M18"/>
    </row>
    <row r="19" spans="1:13" s="40" customFormat="1" ht="30" customHeight="1" thickBot="1">
      <c r="A19" s="39"/>
      <c r="B19" s="83" t="s">
        <v>4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3" s="40" customFormat="1" ht="30" customHeight="1" thickBot="1">
      <c r="A20" s="39"/>
      <c r="B20" s="45">
        <v>1</v>
      </c>
      <c r="C20" s="80" t="str">
        <f ca="1">IF(ISBLANK(INDIRECT(ADDRESS(B20*2+2,3))),"",INDIRECT(ADDRESS(B20*2+2,3)))</f>
        <v>Мусина, Лукина</v>
      </c>
      <c r="D20" s="80"/>
      <c r="E20" s="81"/>
      <c r="F20" s="41">
        <v>13</v>
      </c>
      <c r="G20" s="42">
        <v>1</v>
      </c>
      <c r="H20" s="82" t="str">
        <f ca="1">IF(ISBLANK(INDIRECT(ADDRESS(K20*2+2,3))),"",INDIRECT(ADDRESS(K20*2+2,3)))</f>
        <v>Цепелева, Пилипенко</v>
      </c>
      <c r="I20" s="80"/>
      <c r="J20" s="80"/>
      <c r="K20" s="45">
        <v>6</v>
      </c>
      <c r="L20" s="43" t="s">
        <v>11</v>
      </c>
      <c r="M20" s="38"/>
    </row>
    <row r="21" spans="1:13" s="40" customFormat="1" ht="30" customHeight="1" thickBot="1">
      <c r="A21" s="39"/>
      <c r="B21" s="45">
        <v>2</v>
      </c>
      <c r="C21" s="80" t="str">
        <f ca="1">IF(ISBLANK(INDIRECT(ADDRESS(B21*2+2,3))),"",INDIRECT(ADDRESS(B21*2+2,3)))</f>
        <v>Симутина, Кочетова</v>
      </c>
      <c r="D21" s="80"/>
      <c r="E21" s="81"/>
      <c r="F21" s="41">
        <v>5</v>
      </c>
      <c r="G21" s="42">
        <v>10</v>
      </c>
      <c r="H21" s="82" t="str">
        <f ca="1">IF(ISBLANK(INDIRECT(ADDRESS(K21*2+2,3))),"",INDIRECT(ADDRESS(K21*2+2,3)))</f>
        <v>Фёдорова, Симонова</v>
      </c>
      <c r="I21" s="80"/>
      <c r="J21" s="80"/>
      <c r="K21" s="45">
        <v>5</v>
      </c>
      <c r="L21" s="43" t="s">
        <v>11</v>
      </c>
      <c r="M21" s="38"/>
    </row>
    <row r="22" spans="1:13" s="40" customFormat="1" ht="30" customHeight="1" thickBot="1">
      <c r="A22" s="39"/>
      <c r="B22" s="45">
        <v>3</v>
      </c>
      <c r="C22" s="114" t="str">
        <f ca="1">IF(ISBLANK(INDIRECT(ADDRESS(B22*2+2,3))),"",INDIRECT(ADDRESS(B22*2+2,3)))</f>
        <v>Дегтярёва М., Дегтярёва Л.</v>
      </c>
      <c r="D22" s="114"/>
      <c r="E22" s="115"/>
      <c r="F22" s="41">
        <v>13</v>
      </c>
      <c r="G22" s="42">
        <v>1</v>
      </c>
      <c r="H22" s="82" t="str">
        <f ca="1">IF(ISBLANK(INDIRECT(ADDRESS(K22*2+2,3))),"",INDIRECT(ADDRESS(K22*2+2,3)))</f>
        <v>Маркина, Серёгина</v>
      </c>
      <c r="I22" s="80"/>
      <c r="J22" s="80"/>
      <c r="K22" s="45">
        <v>4</v>
      </c>
      <c r="L22" s="43" t="s">
        <v>11</v>
      </c>
      <c r="M22" s="38"/>
    </row>
    <row r="23" spans="1:13" s="40" customFormat="1" ht="30" customHeight="1">
      <c r="A23" s="39"/>
      <c r="M23" s="46"/>
    </row>
    <row r="24" spans="1:13" s="40" customFormat="1" ht="30" customHeight="1" thickBot="1">
      <c r="A24" s="39"/>
      <c r="B24" s="83" t="s">
        <v>5</v>
      </c>
      <c r="C24" s="83"/>
      <c r="D24" s="83"/>
      <c r="E24" s="83"/>
      <c r="F24" s="83"/>
      <c r="G24" s="83"/>
      <c r="H24" s="83"/>
      <c r="I24" s="83"/>
      <c r="J24" s="83"/>
      <c r="K24" s="83"/>
      <c r="M24" s="46"/>
    </row>
    <row r="25" spans="1:13" s="40" customFormat="1" ht="30" customHeight="1" thickBot="1">
      <c r="A25" s="39"/>
      <c r="B25" s="45">
        <v>6</v>
      </c>
      <c r="C25" s="80" t="str">
        <f ca="1">IF(ISBLANK(INDIRECT(ADDRESS(B25*2+2,3))),"",INDIRECT(ADDRESS(B25*2+2,3)))</f>
        <v>Цепелева, Пилипенко</v>
      </c>
      <c r="D25" s="80"/>
      <c r="E25" s="81"/>
      <c r="F25" s="41">
        <v>5</v>
      </c>
      <c r="G25" s="42">
        <v>13</v>
      </c>
      <c r="H25" s="82" t="str">
        <f ca="1">IF(ISBLANK(INDIRECT(ADDRESS(K25*2+2,3))),"",INDIRECT(ADDRESS(K25*2+2,3)))</f>
        <v>Маркина, Серёгина</v>
      </c>
      <c r="I25" s="80"/>
      <c r="J25" s="80"/>
      <c r="K25" s="45">
        <v>4</v>
      </c>
      <c r="L25" s="43" t="s">
        <v>11</v>
      </c>
      <c r="M25" s="38"/>
    </row>
    <row r="26" spans="1:13" s="40" customFormat="1" ht="30" customHeight="1" thickBot="1">
      <c r="A26" s="39"/>
      <c r="B26" s="45">
        <v>5</v>
      </c>
      <c r="C26" s="80" t="str">
        <f ca="1">IF(ISBLANK(INDIRECT(ADDRESS(B26*2+2,3))),"",INDIRECT(ADDRESS(B26*2+2,3)))</f>
        <v>Фёдорова, Симонова</v>
      </c>
      <c r="D26" s="80"/>
      <c r="E26" s="81"/>
      <c r="F26" s="41">
        <v>0</v>
      </c>
      <c r="G26" s="42">
        <v>13</v>
      </c>
      <c r="H26" s="113" t="str">
        <f ca="1">IF(ISBLANK(INDIRECT(ADDRESS(K26*2+2,3))),"",INDIRECT(ADDRESS(K26*2+2,3)))</f>
        <v>Дегтярёва М., Дегтярёва Л.</v>
      </c>
      <c r="I26" s="114"/>
      <c r="J26" s="114"/>
      <c r="K26" s="45">
        <v>3</v>
      </c>
      <c r="L26" s="43" t="s">
        <v>11</v>
      </c>
      <c r="M26" s="38"/>
    </row>
    <row r="27" spans="1:13" s="40" customFormat="1" ht="30" customHeight="1" thickBot="1">
      <c r="A27" s="39"/>
      <c r="B27" s="45">
        <v>1</v>
      </c>
      <c r="C27" s="80" t="str">
        <f ca="1">IF(ISBLANK(INDIRECT(ADDRESS(B27*2+2,3))),"",INDIRECT(ADDRESS(B27*2+2,3)))</f>
        <v>Мусина, Лукина</v>
      </c>
      <c r="D27" s="80"/>
      <c r="E27" s="81"/>
      <c r="F27" s="41">
        <v>13</v>
      </c>
      <c r="G27" s="42">
        <v>4</v>
      </c>
      <c r="H27" s="82" t="str">
        <f ca="1">IF(ISBLANK(INDIRECT(ADDRESS(K27*2+2,3))),"",INDIRECT(ADDRESS(K27*2+2,3)))</f>
        <v>Симутина, Кочетова</v>
      </c>
      <c r="I27" s="80"/>
      <c r="J27" s="80"/>
      <c r="K27" s="45">
        <v>2</v>
      </c>
      <c r="L27" s="43" t="s">
        <v>11</v>
      </c>
      <c r="M27" s="38"/>
    </row>
    <row r="28" spans="1:13" s="40" customFormat="1" ht="30" customHeight="1">
      <c r="A28" s="39"/>
      <c r="M28" s="46"/>
    </row>
    <row r="29" spans="1:13" s="40" customFormat="1" ht="30" customHeight="1" thickBot="1">
      <c r="A29" s="39"/>
      <c r="B29" s="83" t="s">
        <v>6</v>
      </c>
      <c r="C29" s="83"/>
      <c r="D29" s="83"/>
      <c r="E29" s="83"/>
      <c r="F29" s="83"/>
      <c r="G29" s="83"/>
      <c r="H29" s="83"/>
      <c r="I29" s="83"/>
      <c r="J29" s="83"/>
      <c r="K29" s="83"/>
      <c r="M29" s="46"/>
    </row>
    <row r="30" spans="1:13" s="40" customFormat="1" ht="30" customHeight="1" thickBot="1">
      <c r="A30" s="39"/>
      <c r="B30" s="45">
        <v>2</v>
      </c>
      <c r="C30" s="80" t="str">
        <f ca="1">IF(ISBLANK(INDIRECT(ADDRESS(B30*2+2,3))),"",INDIRECT(ADDRESS(B30*2+2,3)))</f>
        <v>Симутина, Кочетова</v>
      </c>
      <c r="D30" s="80"/>
      <c r="E30" s="81"/>
      <c r="F30" s="41">
        <v>11</v>
      </c>
      <c r="G30" s="42">
        <v>10</v>
      </c>
      <c r="H30" s="82" t="str">
        <f ca="1">IF(ISBLANK(INDIRECT(ADDRESS(K30*2+2,3))),"",INDIRECT(ADDRESS(K30*2+2,3)))</f>
        <v>Цепелева, Пилипенко</v>
      </c>
      <c r="I30" s="80"/>
      <c r="J30" s="80"/>
      <c r="K30" s="45">
        <v>6</v>
      </c>
      <c r="L30" s="43" t="s">
        <v>11</v>
      </c>
      <c r="M30" s="38"/>
    </row>
    <row r="31" spans="1:13" s="40" customFormat="1" ht="30" customHeight="1" thickBot="1">
      <c r="A31" s="39"/>
      <c r="B31" s="45">
        <v>3</v>
      </c>
      <c r="C31" s="114" t="str">
        <f ca="1">IF(ISBLANK(INDIRECT(ADDRESS(B31*2+2,3))),"",INDIRECT(ADDRESS(B31*2+2,3)))</f>
        <v>Дегтярёва М., Дегтярёва Л.</v>
      </c>
      <c r="D31" s="114"/>
      <c r="E31" s="115"/>
      <c r="F31" s="41">
        <v>8</v>
      </c>
      <c r="G31" s="42">
        <v>9</v>
      </c>
      <c r="H31" s="82" t="str">
        <f ca="1">IF(ISBLANK(INDIRECT(ADDRESS(K31*2+2,3))),"",INDIRECT(ADDRESS(K31*2+2,3)))</f>
        <v>Мусина, Лукина</v>
      </c>
      <c r="I31" s="80"/>
      <c r="J31" s="80"/>
      <c r="K31" s="45">
        <v>1</v>
      </c>
      <c r="L31" s="43" t="s">
        <v>11</v>
      </c>
      <c r="M31" s="38"/>
    </row>
    <row r="32" spans="1:13" s="40" customFormat="1" ht="30" customHeight="1" thickBot="1">
      <c r="A32" s="39"/>
      <c r="B32" s="45">
        <v>4</v>
      </c>
      <c r="C32" s="80" t="str">
        <f ca="1">IF(ISBLANK(INDIRECT(ADDRESS(B32*2+2,3))),"",INDIRECT(ADDRESS(B32*2+2,3)))</f>
        <v>Маркина, Серёгина</v>
      </c>
      <c r="D32" s="80"/>
      <c r="E32" s="81"/>
      <c r="F32" s="41">
        <v>11</v>
      </c>
      <c r="G32" s="42">
        <v>13</v>
      </c>
      <c r="H32" s="82" t="str">
        <f ca="1">IF(ISBLANK(INDIRECT(ADDRESS(K32*2+2,3))),"",INDIRECT(ADDRESS(K32*2+2,3)))</f>
        <v>Фёдорова, Симонова</v>
      </c>
      <c r="I32" s="80"/>
      <c r="J32" s="80"/>
      <c r="K32" s="45">
        <v>5</v>
      </c>
      <c r="L32" s="43" t="s">
        <v>11</v>
      </c>
      <c r="M32" s="38"/>
    </row>
    <row r="33" spans="1:13" s="40" customFormat="1" ht="30" customHeight="1">
      <c r="A33" s="39"/>
      <c r="M33" s="46"/>
    </row>
    <row r="34" spans="1:13" s="40" customFormat="1" ht="30" customHeight="1" thickBot="1">
      <c r="A34" s="39"/>
      <c r="B34" s="83" t="s">
        <v>8</v>
      </c>
      <c r="C34" s="83"/>
      <c r="D34" s="83"/>
      <c r="E34" s="83"/>
      <c r="F34" s="83"/>
      <c r="G34" s="83"/>
      <c r="H34" s="83"/>
      <c r="I34" s="83"/>
      <c r="J34" s="83"/>
      <c r="K34" s="83"/>
      <c r="M34" s="46"/>
    </row>
    <row r="35" spans="1:13" s="40" customFormat="1" ht="30" customHeight="1" thickBot="1">
      <c r="A35" s="39"/>
      <c r="B35" s="45">
        <v>6</v>
      </c>
      <c r="C35" s="80" t="str">
        <f ca="1">IF(ISBLANK(INDIRECT(ADDRESS(B35*2+2,3))),"",INDIRECT(ADDRESS(B35*2+2,3)))</f>
        <v>Цепелева, Пилипенко</v>
      </c>
      <c r="D35" s="80"/>
      <c r="E35" s="81"/>
      <c r="F35" s="41">
        <v>3</v>
      </c>
      <c r="G35" s="42">
        <v>13</v>
      </c>
      <c r="H35" s="82" t="str">
        <f ca="1">IF(ISBLANK(INDIRECT(ADDRESS(K35*2+2,3))),"",INDIRECT(ADDRESS(K35*2+2,3)))</f>
        <v>Фёдорова, Симонова</v>
      </c>
      <c r="I35" s="80"/>
      <c r="J35" s="80"/>
      <c r="K35" s="45">
        <v>5</v>
      </c>
      <c r="L35" s="43" t="s">
        <v>11</v>
      </c>
      <c r="M35" s="38"/>
    </row>
    <row r="36" spans="1:13" s="40" customFormat="1" ht="30" customHeight="1" thickBot="1">
      <c r="A36" s="39"/>
      <c r="B36" s="45">
        <v>1</v>
      </c>
      <c r="C36" s="80" t="str">
        <f ca="1">IF(ISBLANK(INDIRECT(ADDRESS(B36*2+2,3))),"",INDIRECT(ADDRESS(B36*2+2,3)))</f>
        <v>Мусина, Лукина</v>
      </c>
      <c r="D36" s="80"/>
      <c r="E36" s="81"/>
      <c r="F36" s="41">
        <v>13</v>
      </c>
      <c r="G36" s="42">
        <v>1</v>
      </c>
      <c r="H36" s="82" t="str">
        <f ca="1">IF(ISBLANK(INDIRECT(ADDRESS(K36*2+2,3))),"",INDIRECT(ADDRESS(K36*2+2,3)))</f>
        <v>Маркина, Серёгина</v>
      </c>
      <c r="I36" s="80"/>
      <c r="J36" s="80"/>
      <c r="K36" s="45">
        <v>4</v>
      </c>
      <c r="L36" s="43" t="s">
        <v>11</v>
      </c>
      <c r="M36" s="38"/>
    </row>
    <row r="37" spans="1:13" s="40" customFormat="1" ht="30" customHeight="1" thickBot="1">
      <c r="A37" s="39"/>
      <c r="B37" s="45">
        <v>2</v>
      </c>
      <c r="C37" s="80" t="str">
        <f ca="1">IF(ISBLANK(INDIRECT(ADDRESS(B37*2+2,3))),"",INDIRECT(ADDRESS(B37*2+2,3)))</f>
        <v>Симутина, Кочетова</v>
      </c>
      <c r="D37" s="80"/>
      <c r="E37" s="81"/>
      <c r="F37" s="41">
        <v>7</v>
      </c>
      <c r="G37" s="42">
        <v>6</v>
      </c>
      <c r="H37" s="113" t="str">
        <f ca="1">IF(ISBLANK(INDIRECT(ADDRESS(K37*2+2,3))),"",INDIRECT(ADDRESS(K37*2+2,3)))</f>
        <v>Дегтярёва М., Дегтярёва Л.</v>
      </c>
      <c r="I37" s="114"/>
      <c r="J37" s="114"/>
      <c r="K37" s="45">
        <v>3</v>
      </c>
      <c r="L37" s="43" t="s">
        <v>11</v>
      </c>
      <c r="M37" s="38"/>
    </row>
    <row r="38" spans="1:13" s="40" customFormat="1" ht="30" customHeight="1">
      <c r="A38" s="39"/>
      <c r="M38" s="46"/>
    </row>
    <row r="39" spans="1:13" s="40" customFormat="1" ht="30" customHeight="1" thickBot="1">
      <c r="A39" s="39"/>
      <c r="B39" s="83" t="s">
        <v>9</v>
      </c>
      <c r="C39" s="83"/>
      <c r="D39" s="83"/>
      <c r="E39" s="83"/>
      <c r="F39" s="83"/>
      <c r="G39" s="83"/>
      <c r="H39" s="83"/>
      <c r="I39" s="83"/>
      <c r="J39" s="83"/>
      <c r="K39" s="83"/>
      <c r="M39" s="46"/>
    </row>
    <row r="40" spans="1:13" s="40" customFormat="1" ht="30" customHeight="1" thickBot="1">
      <c r="A40" s="39"/>
      <c r="B40" s="45">
        <v>3</v>
      </c>
      <c r="C40" s="114" t="str">
        <f ca="1">IF(ISBLANK(INDIRECT(ADDRESS(B40*2+2,3))),"",INDIRECT(ADDRESS(B40*2+2,3)))</f>
        <v>Дегтярёва М., Дегтярёва Л.</v>
      </c>
      <c r="D40" s="114"/>
      <c r="E40" s="115"/>
      <c r="F40" s="41">
        <v>13</v>
      </c>
      <c r="G40" s="42">
        <v>2</v>
      </c>
      <c r="H40" s="82" t="str">
        <f ca="1">IF(ISBLANK(INDIRECT(ADDRESS(K40*2+2,3))),"",INDIRECT(ADDRESS(K40*2+2,3)))</f>
        <v>Цепелева, Пилипенко</v>
      </c>
      <c r="I40" s="80"/>
      <c r="J40" s="80"/>
      <c r="K40" s="45">
        <v>6</v>
      </c>
      <c r="L40" s="43" t="s">
        <v>11</v>
      </c>
      <c r="M40" s="38"/>
    </row>
    <row r="41" spans="1:13" s="40" customFormat="1" ht="30" customHeight="1" thickBot="1">
      <c r="A41" s="39"/>
      <c r="B41" s="45">
        <v>4</v>
      </c>
      <c r="C41" s="80" t="str">
        <f ca="1">IF(ISBLANK(INDIRECT(ADDRESS(B41*2+2,3))),"",INDIRECT(ADDRESS(B41*2+2,3)))</f>
        <v>Маркина, Серёгина</v>
      </c>
      <c r="D41" s="80"/>
      <c r="E41" s="81"/>
      <c r="F41" s="41">
        <v>9</v>
      </c>
      <c r="G41" s="42">
        <v>13</v>
      </c>
      <c r="H41" s="82" t="str">
        <f ca="1">IF(ISBLANK(INDIRECT(ADDRESS(K41*2+2,3))),"",INDIRECT(ADDRESS(K41*2+2,3)))</f>
        <v>Симутина, Кочетова</v>
      </c>
      <c r="I41" s="80"/>
      <c r="J41" s="80"/>
      <c r="K41" s="45">
        <v>2</v>
      </c>
      <c r="L41" s="43" t="s">
        <v>11</v>
      </c>
      <c r="M41" s="38"/>
    </row>
    <row r="42" spans="1:13" s="40" customFormat="1" ht="30" customHeight="1" thickBot="1">
      <c r="A42" s="39"/>
      <c r="B42" s="45">
        <v>5</v>
      </c>
      <c r="C42" s="80" t="str">
        <f ca="1">IF(ISBLANK(INDIRECT(ADDRESS(B42*2+2,3))),"",INDIRECT(ADDRESS(B42*2+2,3)))</f>
        <v>Фёдорова, Симонова</v>
      </c>
      <c r="D42" s="80"/>
      <c r="E42" s="81"/>
      <c r="F42" s="41">
        <v>6</v>
      </c>
      <c r="G42" s="42">
        <v>13</v>
      </c>
      <c r="H42" s="82" t="str">
        <f ca="1">IF(ISBLANK(INDIRECT(ADDRESS(K42*2+2,3))),"",INDIRECT(ADDRESS(K42*2+2,3)))</f>
        <v>Мусина, Лукина</v>
      </c>
      <c r="I42" s="80"/>
      <c r="J42" s="80"/>
      <c r="K42" s="45">
        <v>1</v>
      </c>
      <c r="L42" s="43" t="s">
        <v>11</v>
      </c>
      <c r="M42" s="38"/>
    </row>
    <row r="45" spans="1:13" ht="21">
      <c r="B45" s="59" t="s">
        <v>103</v>
      </c>
      <c r="C45" s="59"/>
      <c r="D45" s="59"/>
      <c r="E45" s="59"/>
      <c r="F45" s="59"/>
      <c r="G45" s="59"/>
      <c r="H45" s="40"/>
    </row>
    <row r="46" spans="1:13" ht="21">
      <c r="B46" s="59"/>
      <c r="C46" s="59"/>
      <c r="D46" s="59"/>
      <c r="E46" s="59"/>
      <c r="F46" s="59"/>
      <c r="G46" s="59"/>
      <c r="H46" s="40"/>
    </row>
    <row r="47" spans="1:13" ht="21">
      <c r="B47" s="59"/>
      <c r="C47" s="59"/>
      <c r="D47" s="59"/>
      <c r="E47" s="59"/>
      <c r="F47" s="59"/>
      <c r="G47" s="59"/>
      <c r="H47" s="40"/>
    </row>
    <row r="48" spans="1:13" ht="21">
      <c r="B48" s="59" t="s">
        <v>104</v>
      </c>
      <c r="C48" s="59"/>
      <c r="D48" s="59"/>
      <c r="E48" s="59"/>
      <c r="F48" s="59"/>
      <c r="G48" s="59"/>
      <c r="H48" s="40"/>
    </row>
  </sheetData>
  <sheetCalcPr fullCalcOnLoad="1"/>
  <mergeCells count="61">
    <mergeCell ref="B6:B7"/>
    <mergeCell ref="C6:E7"/>
    <mergeCell ref="L6:L7"/>
    <mergeCell ref="B1:N1"/>
    <mergeCell ref="N6:N7"/>
    <mergeCell ref="C3:E3"/>
    <mergeCell ref="B4:B5"/>
    <mergeCell ref="C4:E5"/>
    <mergeCell ref="L4:L5"/>
    <mergeCell ref="N4:N5"/>
    <mergeCell ref="N10:N11"/>
    <mergeCell ref="B8:B9"/>
    <mergeCell ref="C8:E9"/>
    <mergeCell ref="L8:L9"/>
    <mergeCell ref="N8:N9"/>
    <mergeCell ref="B10:B11"/>
    <mergeCell ref="C10:E11"/>
    <mergeCell ref="L10:L11"/>
    <mergeCell ref="N12:N13"/>
    <mergeCell ref="B14:B15"/>
    <mergeCell ref="C14:E15"/>
    <mergeCell ref="L14:L15"/>
    <mergeCell ref="N14:N15"/>
    <mergeCell ref="L12:L13"/>
    <mergeCell ref="B12:B13"/>
    <mergeCell ref="C12:E13"/>
    <mergeCell ref="C21:E21"/>
    <mergeCell ref="H21:J21"/>
    <mergeCell ref="C30:E30"/>
    <mergeCell ref="H30:J30"/>
    <mergeCell ref="C26:E26"/>
    <mergeCell ref="H26:J26"/>
    <mergeCell ref="B19:K19"/>
    <mergeCell ref="C20:E20"/>
    <mergeCell ref="H20:J20"/>
    <mergeCell ref="C31:E31"/>
    <mergeCell ref="H31:J31"/>
    <mergeCell ref="B29:K29"/>
    <mergeCell ref="C22:E22"/>
    <mergeCell ref="H22:J22"/>
    <mergeCell ref="B24:K24"/>
    <mergeCell ref="C25:E25"/>
    <mergeCell ref="H25:J25"/>
    <mergeCell ref="C27:E27"/>
    <mergeCell ref="H27:J27"/>
    <mergeCell ref="C42:E42"/>
    <mergeCell ref="H42:J42"/>
    <mergeCell ref="B34:K34"/>
    <mergeCell ref="C35:E35"/>
    <mergeCell ref="H35:J35"/>
    <mergeCell ref="C36:E36"/>
    <mergeCell ref="C32:E32"/>
    <mergeCell ref="H32:J32"/>
    <mergeCell ref="C41:E41"/>
    <mergeCell ref="H41:J41"/>
    <mergeCell ref="H36:J36"/>
    <mergeCell ref="C37:E37"/>
    <mergeCell ref="H37:J37"/>
    <mergeCell ref="B39:K39"/>
    <mergeCell ref="C40:E40"/>
    <mergeCell ref="H40:J40"/>
  </mergeCells>
  <phoneticPr fontId="10" type="noConversion"/>
  <printOptions horizontalCentered="1"/>
  <pageMargins left="0.25" right="0.25" top="0.75" bottom="0.75" header="0.3" footer="0.3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6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42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43</v>
      </c>
      <c r="D4" s="104"/>
      <c r="E4" s="105"/>
      <c r="F4" s="9" t="s">
        <v>7</v>
      </c>
      <c r="G4" s="5" t="str">
        <f ca="1">INDIRECT(ADDRESS(21,6))&amp;":"&amp;INDIRECT(ADDRESS(21,7))</f>
        <v>13:4</v>
      </c>
      <c r="H4" s="5" t="str">
        <f ca="1">INDIRECT(ADDRESS(25,7))&amp;":"&amp;INDIRECT(ADDRESS(25,6))</f>
        <v>3:13</v>
      </c>
      <c r="I4" s="20" t="str">
        <f ca="1">INDIRECT(ADDRESS(16,6))&amp;":"&amp;INDIRECT(ADDRESS(16,7))</f>
        <v>13:8</v>
      </c>
      <c r="J4" s="122">
        <f ca="1">IF(COUNT(F5:I5)=0,"",COUNTIF(F5:I5,"&gt;0")+0.5*COUNTIF(F5:I5,0))</f>
        <v>2</v>
      </c>
      <c r="K4" s="23"/>
      <c r="L4" s="123">
        <v>2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9</v>
      </c>
      <c r="H5" s="16">
        <f ca="1">IF(LEN(INDIRECT(ADDRESS(ROW()-1, COLUMN())))=1,"",INDIRECT(ADDRESS(25,7))-INDIRECT(ADDRESS(25,6)))</f>
        <v>-10</v>
      </c>
      <c r="I5" s="17">
        <f ca="1">IF(LEN(INDIRECT(ADDRESS(ROW()-1, COLUMN())))=1,"",INDIRECT(ADDRESS(16,6))-INDIRECT(ADDRESS(16,7)))</f>
        <v>5</v>
      </c>
      <c r="J5" s="117"/>
      <c r="K5" s="16">
        <f ca="1">IF(COUNT(F5:I5)=0,"",SUM(F5:I5))</f>
        <v>4</v>
      </c>
      <c r="L5" s="118"/>
    </row>
    <row r="6" spans="1:14" ht="24" customHeight="1">
      <c r="B6" s="89">
        <v>2</v>
      </c>
      <c r="C6" s="84" t="s">
        <v>44</v>
      </c>
      <c r="D6" s="85"/>
      <c r="E6" s="86"/>
      <c r="F6" s="11" t="str">
        <f ca="1">INDIRECT(ADDRESS(21,7))&amp;":"&amp;INDIRECT(ADDRESS(21,6))</f>
        <v>4:13</v>
      </c>
      <c r="G6" s="7" t="s">
        <v>7</v>
      </c>
      <c r="H6" s="6" t="str">
        <f ca="1">INDIRECT(ADDRESS(17,6))&amp;":"&amp;INDIRECT(ADDRESS(17,7))</f>
        <v>4:13</v>
      </c>
      <c r="I6" s="10" t="str">
        <f ca="1">INDIRECT(ADDRESS(24,6))&amp;":"&amp;INDIRECT(ADDRESS(24,7))</f>
        <v>7:10</v>
      </c>
      <c r="J6" s="117">
        <f ca="1">IF(COUNT(F7:I7)=0,"",COUNTIF(F7:I7,"&gt;0")+0.5*COUNTIF(F7:I7,0))</f>
        <v>0</v>
      </c>
      <c r="K6" s="16"/>
      <c r="L6" s="118">
        <v>4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-9</v>
      </c>
      <c r="G7" s="14" t="s">
        <v>7</v>
      </c>
      <c r="H7" s="16">
        <f ca="1">IF(LEN(INDIRECT(ADDRESS(ROW()-1, COLUMN())))=1,"",INDIRECT(ADDRESS(17,6))-INDIRECT(ADDRESS(17,7)))</f>
        <v>-9</v>
      </c>
      <c r="I7" s="17">
        <f ca="1">IF(LEN(INDIRECT(ADDRESS(ROW()-1, COLUMN())))=1,"",INDIRECT(ADDRESS(24,6))-INDIRECT(ADDRESS(24,7)))</f>
        <v>-3</v>
      </c>
      <c r="J7" s="117"/>
      <c r="K7" s="16">
        <f ca="1">IF(COUNT(F7:I7)=0,"",SUM(F7:I7))</f>
        <v>-21</v>
      </c>
      <c r="L7" s="118"/>
    </row>
    <row r="8" spans="1:14" ht="24" customHeight="1">
      <c r="B8" s="89">
        <v>3</v>
      </c>
      <c r="C8" s="84" t="s">
        <v>45</v>
      </c>
      <c r="D8" s="85"/>
      <c r="E8" s="86"/>
      <c r="F8" s="11" t="str">
        <f ca="1">INDIRECT(ADDRESS(25,6))&amp;":"&amp;INDIRECT(ADDRESS(25,7))</f>
        <v>13:3</v>
      </c>
      <c r="G8" s="6" t="str">
        <f ca="1">INDIRECT(ADDRESS(17,7))&amp;":"&amp;INDIRECT(ADDRESS(17,6))</f>
        <v>13:4</v>
      </c>
      <c r="H8" s="7" t="s">
        <v>7</v>
      </c>
      <c r="I8" s="10" t="str">
        <f ca="1">INDIRECT(ADDRESS(20,7))&amp;":"&amp;INDIRECT(ADDRESS(20,6))</f>
        <v>13:3</v>
      </c>
      <c r="J8" s="117">
        <f ca="1">IF(COUNT(F9:I9)=0,"",COUNTIF(F9:I9,"&gt;0")+0.5*COUNTIF(F9:I9,0))</f>
        <v>3</v>
      </c>
      <c r="K8" s="16"/>
      <c r="L8" s="118">
        <v>1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10</v>
      </c>
      <c r="G9" s="16">
        <f ca="1">IF(LEN(INDIRECT(ADDRESS(ROW()-1, COLUMN())))=1,"",INDIRECT(ADDRESS(17,7))-INDIRECT(ADDRESS(17,6)))</f>
        <v>9</v>
      </c>
      <c r="H9" s="14" t="s">
        <v>7</v>
      </c>
      <c r="I9" s="17">
        <f ca="1">IF(LEN(INDIRECT(ADDRESS(ROW()-1, COLUMN())))=1,"",INDIRECT(ADDRESS(20,7))-INDIRECT(ADDRESS(20,6)))</f>
        <v>10</v>
      </c>
      <c r="J9" s="117"/>
      <c r="K9" s="16">
        <f ca="1">IF(COUNT(F9:I9)=0,"",SUM(F9:I9))</f>
        <v>29</v>
      </c>
      <c r="L9" s="118"/>
    </row>
    <row r="10" spans="1:14" ht="24" customHeight="1">
      <c r="B10" s="89">
        <v>4</v>
      </c>
      <c r="C10" s="84" t="s">
        <v>46</v>
      </c>
      <c r="D10" s="85"/>
      <c r="E10" s="86"/>
      <c r="F10" s="11" t="str">
        <f ca="1">INDIRECT(ADDRESS(16,7))&amp;":"&amp;INDIRECT(ADDRESS(16,6))</f>
        <v>8:13</v>
      </c>
      <c r="G10" s="6" t="str">
        <f ca="1">INDIRECT(ADDRESS(24,7))&amp;":"&amp;INDIRECT(ADDRESS(24,6))</f>
        <v>10:7</v>
      </c>
      <c r="H10" s="6" t="str">
        <f ca="1">INDIRECT(ADDRESS(20,6))&amp;":"&amp;INDIRECT(ADDRESS(20,7))</f>
        <v>3:13</v>
      </c>
      <c r="I10" s="12" t="s">
        <v>7</v>
      </c>
      <c r="J10" s="117">
        <f ca="1">IF(COUNT(F11:I11)=0,"",COUNTIF(F11:I11,"&gt;0")+0.5*COUNTIF(F11:I11,0))</f>
        <v>1</v>
      </c>
      <c r="K10" s="16"/>
      <c r="L10" s="118">
        <v>3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-5</v>
      </c>
      <c r="G11" s="18">
        <f ca="1">IF(LEN(INDIRECT(ADDRESS(ROW()-1, COLUMN())))=1,"",INDIRECT(ADDRESS(24,7))-INDIRECT(ADDRESS(24,6)))</f>
        <v>3</v>
      </c>
      <c r="H11" s="18">
        <f ca="1">IF(LEN(INDIRECT(ADDRESS(ROW()-1, COLUMN())))=1,"",INDIRECT(ADDRESS(20,6))-INDIRECT(ADDRESS(20,7)))</f>
        <v>-10</v>
      </c>
      <c r="I11" s="15" t="s">
        <v>7</v>
      </c>
      <c r="J11" s="119"/>
      <c r="K11" s="18">
        <f ca="1">IF(COUNT(F11:I11)=0,"",SUM(F11:I11))</f>
        <v>-12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Капран-Индаяти Сергей</v>
      </c>
      <c r="D16" s="80"/>
      <c r="E16" s="81"/>
      <c r="F16" s="41">
        <v>13</v>
      </c>
      <c r="G16" s="42">
        <v>8</v>
      </c>
      <c r="H16" s="82" t="str">
        <f ca="1">IF(ISBLANK(INDIRECT(ADDRESS(K16*2+2,3))),"",INDIRECT(ADDRESS(K16*2+2,3)))</f>
        <v>Борисенко Дмитрий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Коржов Владимир</v>
      </c>
      <c r="D17" s="80"/>
      <c r="E17" s="81"/>
      <c r="F17" s="41">
        <v>4</v>
      </c>
      <c r="G17" s="42">
        <v>13</v>
      </c>
      <c r="H17" s="82" t="str">
        <f ca="1">IF(ISBLANK(INDIRECT(ADDRESS(K17*2+2,3))),"",INDIRECT(ADDRESS(K17*2+2,3)))</f>
        <v>Матвеенко Борис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Борисенко Дмитрий</v>
      </c>
      <c r="D20" s="80"/>
      <c r="E20" s="81"/>
      <c r="F20" s="41">
        <v>3</v>
      </c>
      <c r="G20" s="42">
        <v>13</v>
      </c>
      <c r="H20" s="82" t="str">
        <f ca="1">IF(ISBLANK(INDIRECT(ADDRESS(K20*2+2,3))),"",INDIRECT(ADDRESS(K20*2+2,3)))</f>
        <v>Матвеенко Борис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Капран-Индаяти Сергей</v>
      </c>
      <c r="D21" s="80"/>
      <c r="E21" s="81"/>
      <c r="F21" s="41">
        <v>13</v>
      </c>
      <c r="G21" s="42">
        <v>4</v>
      </c>
      <c r="H21" s="82" t="str">
        <f ca="1">IF(ISBLANK(INDIRECT(ADDRESS(K21*2+2,3))),"",INDIRECT(ADDRESS(K21*2+2,3)))</f>
        <v>Коржов Владимир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Коржов Владимир</v>
      </c>
      <c r="D24" s="80"/>
      <c r="E24" s="81"/>
      <c r="F24" s="41">
        <v>7</v>
      </c>
      <c r="G24" s="42">
        <v>10</v>
      </c>
      <c r="H24" s="82" t="str">
        <f ca="1">IF(ISBLANK(INDIRECT(ADDRESS(K24*2+2,3))),"",INDIRECT(ADDRESS(K24*2+2,3)))</f>
        <v>Борисенко Дмитрий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Матвеенко Борис</v>
      </c>
      <c r="D25" s="80"/>
      <c r="E25" s="81"/>
      <c r="F25" s="41">
        <v>13</v>
      </c>
      <c r="G25" s="42">
        <v>3</v>
      </c>
      <c r="H25" s="82" t="str">
        <f ca="1">IF(ISBLANK(INDIRECT(ADDRESS(K25*2+2,3))),"",INDIRECT(ADDRESS(K25*2+2,3)))</f>
        <v>Капран-Индаяти Сергей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B6:B7"/>
    <mergeCell ref="C6:E7"/>
    <mergeCell ref="J6:J7"/>
    <mergeCell ref="B1:L1"/>
    <mergeCell ref="L6:L7"/>
    <mergeCell ref="C3:E3"/>
    <mergeCell ref="B4:B5"/>
    <mergeCell ref="C4:E5"/>
    <mergeCell ref="J4:J5"/>
    <mergeCell ref="L4:L5"/>
    <mergeCell ref="B19:K19"/>
    <mergeCell ref="L8:L9"/>
    <mergeCell ref="B10:B11"/>
    <mergeCell ref="C10:E11"/>
    <mergeCell ref="J10:J11"/>
    <mergeCell ref="L10:L11"/>
    <mergeCell ref="B8:B9"/>
    <mergeCell ref="C8:E9"/>
    <mergeCell ref="J8:J9"/>
    <mergeCell ref="B15:K15"/>
    <mergeCell ref="C16:E16"/>
    <mergeCell ref="H16:J16"/>
    <mergeCell ref="C17:E17"/>
    <mergeCell ref="H17:J17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3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47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48</v>
      </c>
      <c r="D4" s="104"/>
      <c r="E4" s="105"/>
      <c r="F4" s="9" t="s">
        <v>7</v>
      </c>
      <c r="G4" s="5" t="str">
        <f ca="1">INDIRECT(ADDRESS(21,6))&amp;":"&amp;INDIRECT(ADDRESS(21,7))</f>
        <v>13:2</v>
      </c>
      <c r="H4" s="5" t="str">
        <f ca="1">INDIRECT(ADDRESS(25,7))&amp;":"&amp;INDIRECT(ADDRESS(25,6))</f>
        <v>13:5</v>
      </c>
      <c r="I4" s="20" t="str">
        <f ca="1">INDIRECT(ADDRESS(16,6))&amp;":"&amp;INDIRECT(ADDRESS(16,7))</f>
        <v>13:4</v>
      </c>
      <c r="J4" s="122">
        <f ca="1">IF(COUNT(F5:I5)=0,"",COUNTIF(F5:I5,"&gt;0")+0.5*COUNTIF(F5:I5,0))</f>
        <v>3</v>
      </c>
      <c r="K4" s="23"/>
      <c r="L4" s="123">
        <v>1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11</v>
      </c>
      <c r="H5" s="16">
        <f ca="1">IF(LEN(INDIRECT(ADDRESS(ROW()-1, COLUMN())))=1,"",INDIRECT(ADDRESS(25,7))-INDIRECT(ADDRESS(25,6)))</f>
        <v>8</v>
      </c>
      <c r="I5" s="17">
        <f ca="1">IF(LEN(INDIRECT(ADDRESS(ROW()-1, COLUMN())))=1,"",INDIRECT(ADDRESS(16,6))-INDIRECT(ADDRESS(16,7)))</f>
        <v>9</v>
      </c>
      <c r="J5" s="117"/>
      <c r="K5" s="16">
        <f ca="1">IF(COUNT(F5:I5)=0,"",SUM(F5:I5))</f>
        <v>28</v>
      </c>
      <c r="L5" s="118"/>
    </row>
    <row r="6" spans="1:14" ht="24" customHeight="1">
      <c r="B6" s="89">
        <v>2</v>
      </c>
      <c r="C6" s="84" t="s">
        <v>49</v>
      </c>
      <c r="D6" s="85"/>
      <c r="E6" s="86"/>
      <c r="F6" s="11" t="str">
        <f ca="1">INDIRECT(ADDRESS(21,7))&amp;":"&amp;INDIRECT(ADDRESS(21,6))</f>
        <v>2:13</v>
      </c>
      <c r="G6" s="7" t="s">
        <v>7</v>
      </c>
      <c r="H6" s="6" t="str">
        <f ca="1">INDIRECT(ADDRESS(17,6))&amp;":"&amp;INDIRECT(ADDRESS(17,7))</f>
        <v>10:13</v>
      </c>
      <c r="I6" s="10" t="str">
        <f ca="1">INDIRECT(ADDRESS(24,6))&amp;":"&amp;INDIRECT(ADDRESS(24,7))</f>
        <v>10:13</v>
      </c>
      <c r="J6" s="117">
        <f ca="1">IF(COUNT(F7:I7)=0,"",COUNTIF(F7:I7,"&gt;0")+0.5*COUNTIF(F7:I7,0))</f>
        <v>0</v>
      </c>
      <c r="K6" s="16"/>
      <c r="L6" s="118">
        <v>4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-11</v>
      </c>
      <c r="G7" s="14" t="s">
        <v>7</v>
      </c>
      <c r="H7" s="16">
        <f ca="1">IF(LEN(INDIRECT(ADDRESS(ROW()-1, COLUMN())))=1,"",INDIRECT(ADDRESS(17,6))-INDIRECT(ADDRESS(17,7)))</f>
        <v>-3</v>
      </c>
      <c r="I7" s="17">
        <f ca="1">IF(LEN(INDIRECT(ADDRESS(ROW()-1, COLUMN())))=1,"",INDIRECT(ADDRESS(24,6))-INDIRECT(ADDRESS(24,7)))</f>
        <v>-3</v>
      </c>
      <c r="J7" s="117"/>
      <c r="K7" s="16">
        <f ca="1">IF(COUNT(F7:I7)=0,"",SUM(F7:I7))</f>
        <v>-17</v>
      </c>
      <c r="L7" s="118"/>
    </row>
    <row r="8" spans="1:14" ht="24" customHeight="1">
      <c r="B8" s="89">
        <v>3</v>
      </c>
      <c r="C8" s="84" t="s">
        <v>50</v>
      </c>
      <c r="D8" s="85"/>
      <c r="E8" s="86"/>
      <c r="F8" s="11" t="str">
        <f ca="1">INDIRECT(ADDRESS(25,6))&amp;":"&amp;INDIRECT(ADDRESS(25,7))</f>
        <v>5:13</v>
      </c>
      <c r="G8" s="6" t="str">
        <f ca="1">INDIRECT(ADDRESS(17,7))&amp;":"&amp;INDIRECT(ADDRESS(17,6))</f>
        <v>13:10</v>
      </c>
      <c r="H8" s="7" t="s">
        <v>7</v>
      </c>
      <c r="I8" s="10" t="str">
        <f ca="1">INDIRECT(ADDRESS(20,7))&amp;":"&amp;INDIRECT(ADDRESS(20,6))</f>
        <v>13:1</v>
      </c>
      <c r="J8" s="117">
        <f ca="1">IF(COUNT(F9:I9)=0,"",COUNTIF(F9:I9,"&gt;0")+0.5*COUNTIF(F9:I9,0))</f>
        <v>2</v>
      </c>
      <c r="K8" s="16"/>
      <c r="L8" s="118">
        <v>2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-8</v>
      </c>
      <c r="G9" s="16">
        <f ca="1">IF(LEN(INDIRECT(ADDRESS(ROW()-1, COLUMN())))=1,"",INDIRECT(ADDRESS(17,7))-INDIRECT(ADDRESS(17,6)))</f>
        <v>3</v>
      </c>
      <c r="H9" s="14" t="s">
        <v>7</v>
      </c>
      <c r="I9" s="17">
        <f ca="1">IF(LEN(INDIRECT(ADDRESS(ROW()-1, COLUMN())))=1,"",INDIRECT(ADDRESS(20,7))-INDIRECT(ADDRESS(20,6)))</f>
        <v>12</v>
      </c>
      <c r="J9" s="117"/>
      <c r="K9" s="16">
        <f ca="1">IF(COUNT(F9:I9)=0,"",SUM(F9:I9))</f>
        <v>7</v>
      </c>
      <c r="L9" s="118"/>
    </row>
    <row r="10" spans="1:14" ht="24" customHeight="1">
      <c r="B10" s="89">
        <v>4</v>
      </c>
      <c r="C10" s="84" t="s">
        <v>51</v>
      </c>
      <c r="D10" s="85"/>
      <c r="E10" s="86"/>
      <c r="F10" s="11" t="str">
        <f ca="1">INDIRECT(ADDRESS(16,7))&amp;":"&amp;INDIRECT(ADDRESS(16,6))</f>
        <v>4:13</v>
      </c>
      <c r="G10" s="6" t="str">
        <f ca="1">INDIRECT(ADDRESS(24,7))&amp;":"&amp;INDIRECT(ADDRESS(24,6))</f>
        <v>13:10</v>
      </c>
      <c r="H10" s="6" t="str">
        <f ca="1">INDIRECT(ADDRESS(20,6))&amp;":"&amp;INDIRECT(ADDRESS(20,7))</f>
        <v>1:13</v>
      </c>
      <c r="I10" s="12" t="s">
        <v>7</v>
      </c>
      <c r="J10" s="117">
        <f ca="1">IF(COUNT(F11:I11)=0,"",COUNTIF(F11:I11,"&gt;0")+0.5*COUNTIF(F11:I11,0))</f>
        <v>1</v>
      </c>
      <c r="K10" s="16"/>
      <c r="L10" s="118">
        <v>3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-9</v>
      </c>
      <c r="G11" s="18">
        <f ca="1">IF(LEN(INDIRECT(ADDRESS(ROW()-1, COLUMN())))=1,"",INDIRECT(ADDRESS(24,7))-INDIRECT(ADDRESS(24,6)))</f>
        <v>3</v>
      </c>
      <c r="H11" s="18">
        <f ca="1">IF(LEN(INDIRECT(ADDRESS(ROW()-1, COLUMN())))=1,"",INDIRECT(ADDRESS(20,6))-INDIRECT(ADDRESS(20,7)))</f>
        <v>-12</v>
      </c>
      <c r="I11" s="15" t="s">
        <v>7</v>
      </c>
      <c r="J11" s="119"/>
      <c r="K11" s="18">
        <f ca="1">IF(COUNT(F11:I11)=0,"",SUM(F11:I11))</f>
        <v>-18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Лукин Сергей</v>
      </c>
      <c r="D16" s="80"/>
      <c r="E16" s="81"/>
      <c r="F16" s="41">
        <v>13</v>
      </c>
      <c r="G16" s="42">
        <v>4</v>
      </c>
      <c r="H16" s="82" t="str">
        <f ca="1">IF(ISBLANK(INDIRECT(ADDRESS(K16*2+2,3))),"",INDIRECT(ADDRESS(K16*2+2,3)))</f>
        <v>Корниенко Валерий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Клименко Владимир</v>
      </c>
      <c r="D17" s="80"/>
      <c r="E17" s="81"/>
      <c r="F17" s="41">
        <v>10</v>
      </c>
      <c r="G17" s="42">
        <v>13</v>
      </c>
      <c r="H17" s="82" t="str">
        <f ca="1">IF(ISBLANK(INDIRECT(ADDRESS(K17*2+2,3))),"",INDIRECT(ADDRESS(K17*2+2,3)))</f>
        <v>Дорошенко Анатолий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Корниенко Валерий</v>
      </c>
      <c r="D20" s="80"/>
      <c r="E20" s="81"/>
      <c r="F20" s="41">
        <v>1</v>
      </c>
      <c r="G20" s="42">
        <v>13</v>
      </c>
      <c r="H20" s="82" t="str">
        <f ca="1">IF(ISBLANK(INDIRECT(ADDRESS(K20*2+2,3))),"",INDIRECT(ADDRESS(K20*2+2,3)))</f>
        <v>Дорошенко Анатолий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Лукин Сергей</v>
      </c>
      <c r="D21" s="80"/>
      <c r="E21" s="81"/>
      <c r="F21" s="41">
        <v>13</v>
      </c>
      <c r="G21" s="42">
        <v>2</v>
      </c>
      <c r="H21" s="82" t="str">
        <f ca="1">IF(ISBLANK(INDIRECT(ADDRESS(K21*2+2,3))),"",INDIRECT(ADDRESS(K21*2+2,3)))</f>
        <v>Клименко Владимир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Клименко Владимир</v>
      </c>
      <c r="D24" s="80"/>
      <c r="E24" s="81"/>
      <c r="F24" s="41">
        <v>10</v>
      </c>
      <c r="G24" s="42">
        <v>13</v>
      </c>
      <c r="H24" s="82" t="str">
        <f ca="1">IF(ISBLANK(INDIRECT(ADDRESS(K24*2+2,3))),"",INDIRECT(ADDRESS(K24*2+2,3)))</f>
        <v>Корниенко Валерий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Дорошенко Анатолий</v>
      </c>
      <c r="D25" s="80"/>
      <c r="E25" s="81"/>
      <c r="F25" s="41">
        <v>5</v>
      </c>
      <c r="G25" s="42">
        <v>13</v>
      </c>
      <c r="H25" s="82" t="str">
        <f ca="1">IF(ISBLANK(INDIRECT(ADDRESS(K25*2+2,3))),"",INDIRECT(ADDRESS(K25*2+2,3)))</f>
        <v>Лукин Сергей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B19:K19"/>
    <mergeCell ref="C16:E16"/>
    <mergeCell ref="H16:J16"/>
    <mergeCell ref="C17:E17"/>
    <mergeCell ref="H17:J17"/>
    <mergeCell ref="L8:L9"/>
    <mergeCell ref="B10:B11"/>
    <mergeCell ref="C10:E11"/>
    <mergeCell ref="J10:J11"/>
    <mergeCell ref="L10:L11"/>
    <mergeCell ref="B1:L1"/>
    <mergeCell ref="L6:L7"/>
    <mergeCell ref="C3:E3"/>
    <mergeCell ref="B4:B5"/>
    <mergeCell ref="C4:E5"/>
    <mergeCell ref="J4:J5"/>
    <mergeCell ref="L4:L5"/>
    <mergeCell ref="B15:K15"/>
    <mergeCell ref="B6:B7"/>
    <mergeCell ref="C6:E7"/>
    <mergeCell ref="J6:J7"/>
    <mergeCell ref="C8:E9"/>
    <mergeCell ref="J8:J9"/>
    <mergeCell ref="B8:B9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10" workbookViewId="0">
      <selection activeCell="B28" sqref="B28:H31"/>
    </sheetView>
  </sheetViews>
  <sheetFormatPr defaultRowHeight="15"/>
  <cols>
    <col min="1" max="1" width="4" style="27" customWidth="1"/>
    <col min="2" max="12" width="10.28515625" customWidth="1"/>
    <col min="13" max="13" width="10.28515625" style="35" customWidth="1"/>
    <col min="14" max="15" width="10.28515625" customWidth="1"/>
  </cols>
  <sheetData>
    <row r="1" spans="1:14" ht="40.5" customHeight="1">
      <c r="B1" s="121" t="s">
        <v>52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8"/>
      <c r="N1" s="48"/>
    </row>
    <row r="2" spans="1:14" ht="15.75" thickBot="1"/>
    <row r="3" spans="1:14" ht="30" customHeight="1" thickBot="1">
      <c r="B3" s="24"/>
      <c r="C3" s="99" t="s">
        <v>0</v>
      </c>
      <c r="D3" s="100"/>
      <c r="E3" s="101"/>
      <c r="F3" s="1">
        <v>1</v>
      </c>
      <c r="G3" s="1">
        <v>2</v>
      </c>
      <c r="H3" s="2">
        <v>3</v>
      </c>
      <c r="I3" s="2">
        <v>4</v>
      </c>
      <c r="J3" s="24" t="s">
        <v>1</v>
      </c>
      <c r="K3" s="1" t="s">
        <v>3</v>
      </c>
      <c r="L3" s="21" t="s">
        <v>2</v>
      </c>
    </row>
    <row r="4" spans="1:14" ht="24" customHeight="1">
      <c r="B4" s="102">
        <v>1</v>
      </c>
      <c r="C4" s="103" t="s">
        <v>53</v>
      </c>
      <c r="D4" s="104"/>
      <c r="E4" s="105"/>
      <c r="F4" s="9" t="s">
        <v>7</v>
      </c>
      <c r="G4" s="5" t="str">
        <f ca="1">INDIRECT(ADDRESS(21,6))&amp;":"&amp;INDIRECT(ADDRESS(21,7))</f>
        <v>9:13</v>
      </c>
      <c r="H4" s="5" t="str">
        <f ca="1">INDIRECT(ADDRESS(25,7))&amp;":"&amp;INDIRECT(ADDRESS(25,6))</f>
        <v>13:4</v>
      </c>
      <c r="I4" s="20" t="str">
        <f ca="1">INDIRECT(ADDRESS(16,6))&amp;":"&amp;INDIRECT(ADDRESS(16,7))</f>
        <v>13:2</v>
      </c>
      <c r="J4" s="122">
        <f ca="1">IF(COUNT(F5:I5)=0,"",COUNTIF(F5:I5,"&gt;0")+0.5*COUNTIF(F5:I5,0))</f>
        <v>2</v>
      </c>
      <c r="K4" s="23"/>
      <c r="L4" s="123">
        <v>2</v>
      </c>
    </row>
    <row r="5" spans="1:14" ht="24" customHeight="1">
      <c r="B5" s="97"/>
      <c r="C5" s="84"/>
      <c r="D5" s="85"/>
      <c r="E5" s="86"/>
      <c r="F5" s="13" t="s">
        <v>7</v>
      </c>
      <c r="G5" s="16">
        <f ca="1">IF(LEN(INDIRECT(ADDRESS(ROW()-1, COLUMN())))=1,"",INDIRECT(ADDRESS(21,6))-INDIRECT(ADDRESS(21,7)))</f>
        <v>-4</v>
      </c>
      <c r="H5" s="16">
        <f ca="1">IF(LEN(INDIRECT(ADDRESS(ROW()-1, COLUMN())))=1,"",INDIRECT(ADDRESS(25,7))-INDIRECT(ADDRESS(25,6)))</f>
        <v>9</v>
      </c>
      <c r="I5" s="17">
        <f ca="1">IF(LEN(INDIRECT(ADDRESS(ROW()-1, COLUMN())))=1,"",INDIRECT(ADDRESS(16,6))-INDIRECT(ADDRESS(16,7)))</f>
        <v>11</v>
      </c>
      <c r="J5" s="117"/>
      <c r="K5" s="16">
        <f ca="1">IF(COUNT(F5:I5)=0,"",SUM(F5:I5))</f>
        <v>16</v>
      </c>
      <c r="L5" s="118"/>
    </row>
    <row r="6" spans="1:14" ht="24" customHeight="1">
      <c r="B6" s="89">
        <v>2</v>
      </c>
      <c r="C6" s="84" t="s">
        <v>54</v>
      </c>
      <c r="D6" s="85"/>
      <c r="E6" s="86"/>
      <c r="F6" s="11" t="str">
        <f ca="1">INDIRECT(ADDRESS(21,7))&amp;":"&amp;INDIRECT(ADDRESS(21,6))</f>
        <v>13:9</v>
      </c>
      <c r="G6" s="7" t="s">
        <v>7</v>
      </c>
      <c r="H6" s="6" t="str">
        <f ca="1">INDIRECT(ADDRESS(17,6))&amp;":"&amp;INDIRECT(ADDRESS(17,7))</f>
        <v>13:1</v>
      </c>
      <c r="I6" s="10" t="str">
        <f ca="1">INDIRECT(ADDRESS(24,6))&amp;":"&amp;INDIRECT(ADDRESS(24,7))</f>
        <v>13:4</v>
      </c>
      <c r="J6" s="117">
        <f ca="1">IF(COUNT(F7:I7)=0,"",COUNTIF(F7:I7,"&gt;0")+0.5*COUNTIF(F7:I7,0))</f>
        <v>3</v>
      </c>
      <c r="K6" s="16"/>
      <c r="L6" s="118">
        <v>1</v>
      </c>
    </row>
    <row r="7" spans="1:14" ht="24" customHeight="1">
      <c r="B7" s="97"/>
      <c r="C7" s="84"/>
      <c r="D7" s="85"/>
      <c r="E7" s="86"/>
      <c r="F7" s="22">
        <f ca="1">IF(LEN(INDIRECT(ADDRESS(ROW()-1, COLUMN())))=1,"",INDIRECT(ADDRESS(21,7))-INDIRECT(ADDRESS(21,6)))</f>
        <v>4</v>
      </c>
      <c r="G7" s="14" t="s">
        <v>7</v>
      </c>
      <c r="H7" s="16">
        <f ca="1">IF(LEN(INDIRECT(ADDRESS(ROW()-1, COLUMN())))=1,"",INDIRECT(ADDRESS(17,6))-INDIRECT(ADDRESS(17,7)))</f>
        <v>12</v>
      </c>
      <c r="I7" s="17">
        <f ca="1">IF(LEN(INDIRECT(ADDRESS(ROW()-1, COLUMN())))=1,"",INDIRECT(ADDRESS(24,6))-INDIRECT(ADDRESS(24,7)))</f>
        <v>9</v>
      </c>
      <c r="J7" s="117"/>
      <c r="K7" s="16">
        <f ca="1">IF(COUNT(F7:I7)=0,"",SUM(F7:I7))</f>
        <v>25</v>
      </c>
      <c r="L7" s="118"/>
    </row>
    <row r="8" spans="1:14" ht="24" customHeight="1">
      <c r="B8" s="89">
        <v>3</v>
      </c>
      <c r="C8" s="84" t="s">
        <v>55</v>
      </c>
      <c r="D8" s="85"/>
      <c r="E8" s="86"/>
      <c r="F8" s="11" t="str">
        <f ca="1">INDIRECT(ADDRESS(25,6))&amp;":"&amp;INDIRECT(ADDRESS(25,7))</f>
        <v>4:13</v>
      </c>
      <c r="G8" s="6" t="str">
        <f ca="1">INDIRECT(ADDRESS(17,7))&amp;":"&amp;INDIRECT(ADDRESS(17,6))</f>
        <v>1:13</v>
      </c>
      <c r="H8" s="7" t="s">
        <v>7</v>
      </c>
      <c r="I8" s="10" t="str">
        <f ca="1">INDIRECT(ADDRESS(20,7))&amp;":"&amp;INDIRECT(ADDRESS(20,6))</f>
        <v>13:8</v>
      </c>
      <c r="J8" s="117">
        <f ca="1">IF(COUNT(F9:I9)=0,"",COUNTIF(F9:I9,"&gt;0")+0.5*COUNTIF(F9:I9,0))</f>
        <v>1</v>
      </c>
      <c r="K8" s="16"/>
      <c r="L8" s="118">
        <v>3</v>
      </c>
    </row>
    <row r="9" spans="1:14" ht="24" customHeight="1">
      <c r="B9" s="97"/>
      <c r="C9" s="84"/>
      <c r="D9" s="85"/>
      <c r="E9" s="86"/>
      <c r="F9" s="22">
        <f ca="1">IF(LEN(INDIRECT(ADDRESS(ROW()-1, COLUMN())))=1,"",INDIRECT(ADDRESS(25,6))-INDIRECT(ADDRESS(25,7)))</f>
        <v>-9</v>
      </c>
      <c r="G9" s="16">
        <f ca="1">IF(LEN(INDIRECT(ADDRESS(ROW()-1, COLUMN())))=1,"",INDIRECT(ADDRESS(17,7))-INDIRECT(ADDRESS(17,6)))</f>
        <v>-12</v>
      </c>
      <c r="H9" s="14" t="s">
        <v>7</v>
      </c>
      <c r="I9" s="17">
        <f ca="1">IF(LEN(INDIRECT(ADDRESS(ROW()-1, COLUMN())))=1,"",INDIRECT(ADDRESS(20,7))-INDIRECT(ADDRESS(20,6)))</f>
        <v>5</v>
      </c>
      <c r="J9" s="117"/>
      <c r="K9" s="16">
        <f ca="1">IF(COUNT(F9:I9)=0,"",SUM(F9:I9))</f>
        <v>-16</v>
      </c>
      <c r="L9" s="118"/>
    </row>
    <row r="10" spans="1:14" ht="24" customHeight="1">
      <c r="B10" s="89">
        <v>4</v>
      </c>
      <c r="C10" s="84" t="s">
        <v>56</v>
      </c>
      <c r="D10" s="85"/>
      <c r="E10" s="86"/>
      <c r="F10" s="11" t="str">
        <f ca="1">INDIRECT(ADDRESS(16,7))&amp;":"&amp;INDIRECT(ADDRESS(16,6))</f>
        <v>2:13</v>
      </c>
      <c r="G10" s="6" t="str">
        <f ca="1">INDIRECT(ADDRESS(24,7))&amp;":"&amp;INDIRECT(ADDRESS(24,6))</f>
        <v>4:13</v>
      </c>
      <c r="H10" s="6" t="str">
        <f ca="1">INDIRECT(ADDRESS(20,6))&amp;":"&amp;INDIRECT(ADDRESS(20,7))</f>
        <v>8:13</v>
      </c>
      <c r="I10" s="12" t="s">
        <v>7</v>
      </c>
      <c r="J10" s="117">
        <f ca="1">IF(COUNT(F11:I11)=0,"",COUNTIF(F11:I11,"&gt;0")+0.5*COUNTIF(F11:I11,0))</f>
        <v>0</v>
      </c>
      <c r="K10" s="16"/>
      <c r="L10" s="118">
        <v>4</v>
      </c>
    </row>
    <row r="11" spans="1:14" ht="24" customHeight="1" thickBot="1">
      <c r="B11" s="90"/>
      <c r="C11" s="91"/>
      <c r="D11" s="92"/>
      <c r="E11" s="93"/>
      <c r="F11" s="19">
        <f ca="1">IF(LEN(INDIRECT(ADDRESS(ROW()-1, COLUMN())))=1,"",INDIRECT(ADDRESS(16,7))-INDIRECT(ADDRESS(16,6)))</f>
        <v>-11</v>
      </c>
      <c r="G11" s="18">
        <f ca="1">IF(LEN(INDIRECT(ADDRESS(ROW()-1, COLUMN())))=1,"",INDIRECT(ADDRESS(24,7))-INDIRECT(ADDRESS(24,6)))</f>
        <v>-9</v>
      </c>
      <c r="H11" s="18">
        <f ca="1">IF(LEN(INDIRECT(ADDRESS(ROW()-1, COLUMN())))=1,"",INDIRECT(ADDRESS(20,6))-INDIRECT(ADDRESS(20,7)))</f>
        <v>-5</v>
      </c>
      <c r="I11" s="15" t="s">
        <v>7</v>
      </c>
      <c r="J11" s="119"/>
      <c r="K11" s="18">
        <f ca="1">IF(COUNT(F11:I11)=0,"",SUM(F11:I11))</f>
        <v>-25</v>
      </c>
      <c r="L11" s="120"/>
    </row>
    <row r="15" spans="1:14" s="40" customFormat="1" ht="30" customHeight="1" thickBot="1">
      <c r="A15" s="39"/>
      <c r="B15" s="83" t="s">
        <v>4</v>
      </c>
      <c r="C15" s="83"/>
      <c r="D15" s="83"/>
      <c r="E15" s="83"/>
      <c r="F15" s="83"/>
      <c r="G15" s="83"/>
      <c r="H15" s="83"/>
      <c r="I15" s="83"/>
      <c r="J15" s="83"/>
      <c r="K15" s="83"/>
      <c r="M15" s="44"/>
    </row>
    <row r="16" spans="1:14" s="40" customFormat="1" ht="30" customHeight="1" thickBot="1">
      <c r="A16" s="39"/>
      <c r="B16" s="45">
        <v>1</v>
      </c>
      <c r="C16" s="80" t="str">
        <f ca="1">IF(ISBLANK(INDIRECT(ADDRESS(B16*2+2,3))),"",INDIRECT(ADDRESS(B16*2+2,3)))</f>
        <v>Ерёмин Павел</v>
      </c>
      <c r="D16" s="80"/>
      <c r="E16" s="81"/>
      <c r="F16" s="41">
        <v>13</v>
      </c>
      <c r="G16" s="42">
        <v>2</v>
      </c>
      <c r="H16" s="82" t="str">
        <f ca="1">IF(ISBLANK(INDIRECT(ADDRESS(K16*2+2,3))),"",INDIRECT(ADDRESS(K16*2+2,3)))</f>
        <v>Шевченко Богдан</v>
      </c>
      <c r="I16" s="80"/>
      <c r="J16" s="80"/>
      <c r="K16" s="45">
        <v>4</v>
      </c>
      <c r="L16" s="43" t="s">
        <v>11</v>
      </c>
      <c r="M16" s="46"/>
    </row>
    <row r="17" spans="1:13" s="40" customFormat="1" ht="30" customHeight="1" thickBot="1">
      <c r="A17" s="39"/>
      <c r="B17" s="45">
        <v>2</v>
      </c>
      <c r="C17" s="80" t="str">
        <f ca="1">IF(ISBLANK(INDIRECT(ADDRESS(B17*2+2,3))),"",INDIRECT(ADDRESS(B17*2+2,3)))</f>
        <v>Курков Олег</v>
      </c>
      <c r="D17" s="80"/>
      <c r="E17" s="81"/>
      <c r="F17" s="41">
        <v>13</v>
      </c>
      <c r="G17" s="42">
        <v>1</v>
      </c>
      <c r="H17" s="82" t="str">
        <f ca="1">IF(ISBLANK(INDIRECT(ADDRESS(K17*2+2,3))),"",INDIRECT(ADDRESS(K17*2+2,3)))</f>
        <v>Щербак Роман</v>
      </c>
      <c r="I17" s="80"/>
      <c r="J17" s="80"/>
      <c r="K17" s="45">
        <v>3</v>
      </c>
      <c r="L17" s="43" t="s">
        <v>11</v>
      </c>
      <c r="M17" s="46"/>
    </row>
    <row r="18" spans="1:13" s="40" customFormat="1" ht="30" customHeight="1">
      <c r="A18" s="39"/>
      <c r="M18" s="46"/>
    </row>
    <row r="19" spans="1:13" s="40" customFormat="1" ht="30" customHeight="1" thickBot="1">
      <c r="A19" s="39"/>
      <c r="B19" s="83" t="s">
        <v>5</v>
      </c>
      <c r="C19" s="83"/>
      <c r="D19" s="83"/>
      <c r="E19" s="83"/>
      <c r="F19" s="83"/>
      <c r="G19" s="83"/>
      <c r="H19" s="83"/>
      <c r="I19" s="83"/>
      <c r="J19" s="83"/>
      <c r="K19" s="83"/>
      <c r="M19" s="46"/>
    </row>
    <row r="20" spans="1:13" s="40" customFormat="1" ht="30" customHeight="1" thickBot="1">
      <c r="A20" s="39"/>
      <c r="B20" s="45">
        <v>4</v>
      </c>
      <c r="C20" s="80" t="str">
        <f ca="1">IF(ISBLANK(INDIRECT(ADDRESS(B20*2+2,3))),"",INDIRECT(ADDRESS(B20*2+2,3)))</f>
        <v>Шевченко Богдан</v>
      </c>
      <c r="D20" s="80"/>
      <c r="E20" s="81"/>
      <c r="F20" s="41">
        <v>8</v>
      </c>
      <c r="G20" s="42">
        <v>13</v>
      </c>
      <c r="H20" s="82" t="str">
        <f ca="1">IF(ISBLANK(INDIRECT(ADDRESS(K20*2+2,3))),"",INDIRECT(ADDRESS(K20*2+2,3)))</f>
        <v>Щербак Роман</v>
      </c>
      <c r="I20" s="80"/>
      <c r="J20" s="80"/>
      <c r="K20" s="45">
        <v>3</v>
      </c>
      <c r="L20" s="43" t="s">
        <v>11</v>
      </c>
      <c r="M20" s="46"/>
    </row>
    <row r="21" spans="1:13" s="40" customFormat="1" ht="30" customHeight="1" thickBot="1">
      <c r="A21" s="39"/>
      <c r="B21" s="45">
        <v>1</v>
      </c>
      <c r="C21" s="80" t="str">
        <f ca="1">IF(ISBLANK(INDIRECT(ADDRESS(B21*2+2,3))),"",INDIRECT(ADDRESS(B21*2+2,3)))</f>
        <v>Ерёмин Павел</v>
      </c>
      <c r="D21" s="80"/>
      <c r="E21" s="81"/>
      <c r="F21" s="41">
        <v>9</v>
      </c>
      <c r="G21" s="42">
        <v>13</v>
      </c>
      <c r="H21" s="82" t="str">
        <f ca="1">IF(ISBLANK(INDIRECT(ADDRESS(K21*2+2,3))),"",INDIRECT(ADDRESS(K21*2+2,3)))</f>
        <v>Курков Олег</v>
      </c>
      <c r="I21" s="80"/>
      <c r="J21" s="80"/>
      <c r="K21" s="45">
        <v>2</v>
      </c>
      <c r="L21" s="43" t="s">
        <v>11</v>
      </c>
      <c r="M21" s="46"/>
    </row>
    <row r="22" spans="1:13" s="40" customFormat="1" ht="30" customHeight="1">
      <c r="A22" s="39"/>
      <c r="M22" s="46"/>
    </row>
    <row r="23" spans="1:13" s="40" customFormat="1" ht="30" customHeight="1" thickBot="1">
      <c r="A23" s="39"/>
      <c r="B23" s="83" t="s">
        <v>6</v>
      </c>
      <c r="C23" s="83"/>
      <c r="D23" s="83"/>
      <c r="E23" s="83"/>
      <c r="F23" s="83"/>
      <c r="G23" s="83"/>
      <c r="H23" s="83"/>
      <c r="I23" s="83"/>
      <c r="J23" s="83"/>
      <c r="K23" s="83"/>
      <c r="M23" s="46"/>
    </row>
    <row r="24" spans="1:13" s="40" customFormat="1" ht="30" customHeight="1" thickBot="1">
      <c r="A24" s="39"/>
      <c r="B24" s="45">
        <v>2</v>
      </c>
      <c r="C24" s="80" t="str">
        <f ca="1">IF(ISBLANK(INDIRECT(ADDRESS(B24*2+2,3))),"",INDIRECT(ADDRESS(B24*2+2,3)))</f>
        <v>Курков Олег</v>
      </c>
      <c r="D24" s="80"/>
      <c r="E24" s="81"/>
      <c r="F24" s="41">
        <v>13</v>
      </c>
      <c r="G24" s="42">
        <v>4</v>
      </c>
      <c r="H24" s="82" t="str">
        <f ca="1">IF(ISBLANK(INDIRECT(ADDRESS(K24*2+2,3))),"",INDIRECT(ADDRESS(K24*2+2,3)))</f>
        <v>Шевченко Богдан</v>
      </c>
      <c r="I24" s="80"/>
      <c r="J24" s="80"/>
      <c r="K24" s="45">
        <v>4</v>
      </c>
      <c r="L24" s="43" t="s">
        <v>11</v>
      </c>
      <c r="M24" s="46"/>
    </row>
    <row r="25" spans="1:13" s="40" customFormat="1" ht="30" customHeight="1" thickBot="1">
      <c r="A25" s="39"/>
      <c r="B25" s="45">
        <v>3</v>
      </c>
      <c r="C25" s="80" t="str">
        <f ca="1">IF(ISBLANK(INDIRECT(ADDRESS(B25*2+2,3))),"",INDIRECT(ADDRESS(B25*2+2,3)))</f>
        <v>Щербак Роман</v>
      </c>
      <c r="D25" s="80"/>
      <c r="E25" s="81"/>
      <c r="F25" s="41">
        <v>4</v>
      </c>
      <c r="G25" s="42">
        <v>13</v>
      </c>
      <c r="H25" s="82" t="str">
        <f ca="1">IF(ISBLANK(INDIRECT(ADDRESS(K25*2+2,3))),"",INDIRECT(ADDRESS(K25*2+2,3)))</f>
        <v>Ерёмин Павел</v>
      </c>
      <c r="I25" s="80"/>
      <c r="J25" s="80"/>
      <c r="K25" s="45">
        <v>1</v>
      </c>
      <c r="L25" s="43" t="s">
        <v>11</v>
      </c>
      <c r="M25" s="46"/>
    </row>
    <row r="28" spans="1:13" ht="21">
      <c r="B28" s="59" t="s">
        <v>103</v>
      </c>
      <c r="C28" s="59"/>
      <c r="D28" s="59"/>
      <c r="E28" s="59"/>
      <c r="F28" s="59"/>
      <c r="G28" s="59"/>
      <c r="H28" s="40"/>
    </row>
    <row r="29" spans="1:13" ht="21">
      <c r="B29" s="59"/>
      <c r="C29" s="59"/>
      <c r="D29" s="59"/>
      <c r="E29" s="59"/>
      <c r="F29" s="59"/>
      <c r="G29" s="59"/>
      <c r="H29" s="40"/>
    </row>
    <row r="30" spans="1:13" ht="21">
      <c r="B30" s="59"/>
      <c r="C30" s="59"/>
      <c r="D30" s="59"/>
      <c r="E30" s="59"/>
      <c r="F30" s="59"/>
      <c r="G30" s="59"/>
      <c r="H30" s="40"/>
    </row>
    <row r="31" spans="1:13" ht="21">
      <c r="B31" s="59" t="s">
        <v>104</v>
      </c>
      <c r="C31" s="59"/>
      <c r="D31" s="59"/>
      <c r="E31" s="59"/>
      <c r="F31" s="59"/>
      <c r="G31" s="59"/>
      <c r="H31" s="40"/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B19:K19"/>
    <mergeCell ref="C16:E16"/>
    <mergeCell ref="H16:J16"/>
    <mergeCell ref="C17:E17"/>
    <mergeCell ref="H17:J17"/>
    <mergeCell ref="L8:L9"/>
    <mergeCell ref="B10:B11"/>
    <mergeCell ref="C10:E11"/>
    <mergeCell ref="J10:J11"/>
    <mergeCell ref="L10:L11"/>
    <mergeCell ref="B1:L1"/>
    <mergeCell ref="L6:L7"/>
    <mergeCell ref="C3:E3"/>
    <mergeCell ref="B4:B5"/>
    <mergeCell ref="C4:E5"/>
    <mergeCell ref="J4:J5"/>
    <mergeCell ref="L4:L5"/>
    <mergeCell ref="B15:K15"/>
    <mergeCell ref="B6:B7"/>
    <mergeCell ref="C6:E7"/>
    <mergeCell ref="J6:J7"/>
    <mergeCell ref="C8:E9"/>
    <mergeCell ref="J8:J9"/>
    <mergeCell ref="B8:B9"/>
  </mergeCells>
  <phoneticPr fontId="1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Женщины группа А</vt:lpstr>
      <vt:lpstr>Женщины группа В</vt:lpstr>
      <vt:lpstr>Женщины Кубок А</vt:lpstr>
      <vt:lpstr>Женщины Кубок В</vt:lpstr>
      <vt:lpstr>Женщины Кубок С</vt:lpstr>
      <vt:lpstr>Женщины Чемпионат ВФБ</vt:lpstr>
      <vt:lpstr>Мужчины группа А</vt:lpstr>
      <vt:lpstr>Мужчины группа В</vt:lpstr>
      <vt:lpstr>Мужчины группа С</vt:lpstr>
      <vt:lpstr>Мужчины группа D</vt:lpstr>
      <vt:lpstr>Мужчины группа АА1</vt:lpstr>
      <vt:lpstr>Мужчины группа АА2</vt:lpstr>
      <vt:lpstr>Мужчины группа ВВ1</vt:lpstr>
      <vt:lpstr>Мужчины группа ВВ2</vt:lpstr>
      <vt:lpstr>Мужчины кубок А</vt:lpstr>
      <vt:lpstr>Мужчины кубок В</vt:lpstr>
      <vt:lpstr>Мужчины кубок С</vt:lpstr>
      <vt:lpstr>Мужчины кубок D</vt:lpstr>
      <vt:lpstr>Чемпионат ВФБ мужчины группа А</vt:lpstr>
      <vt:lpstr>Чемпионат ВФБ мужчины группа В</vt:lpstr>
      <vt:lpstr>Чемпионат ВФБ мужчины кубок А</vt:lpstr>
      <vt:lpstr>Чемпионат ВФБ мужчины кубок В</vt:lpstr>
      <vt:lpstr>Чемпионат ВФБ мужчины кубок С</vt:lpstr>
      <vt:lpstr>Итоги ГП России кубок ВФБ жен</vt:lpstr>
      <vt:lpstr>Итоги ГП России чемпионат ВФБ ж</vt:lpstr>
      <vt:lpstr>Итоги ГП России кубок ВФБ муж</vt:lpstr>
      <vt:lpstr>Итоги ГП России чемпионат ВФБ м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2024-04-08T21:38:51Z</cp:lastPrinted>
  <dcterms:created xsi:type="dcterms:W3CDTF">2009-05-19T09:37:33Z</dcterms:created>
  <dcterms:modified xsi:type="dcterms:W3CDTF">2024-04-08T23:15:33Z</dcterms:modified>
</cp:coreProperties>
</file>